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bookViews>
    <workbookView xWindow="0" yWindow="0" windowWidth="15530" windowHeight="6930" tabRatio="882" activeTab="2"/>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final'!$A$6:$CP$151</definedName>
  </definedNames>
  <calcPr calcId="162913"/>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9" i="1" l="1"/>
  <c r="T136" i="1"/>
  <c r="K67" i="1" l="1"/>
  <c r="L67" i="1" s="1"/>
  <c r="W67" i="1"/>
  <c r="T67" i="1"/>
  <c r="N67" i="1"/>
  <c r="O67" i="1" s="1"/>
  <c r="AA67" i="1" l="1"/>
  <c r="Q67" i="1"/>
  <c r="P67" i="1"/>
  <c r="AE67" i="1" s="1"/>
  <c r="AD67" i="1" s="1"/>
  <c r="X245" i="19"/>
  <c r="X238" i="19"/>
  <c r="W238" i="19"/>
  <c r="X237" i="19"/>
  <c r="X236" i="19"/>
  <c r="X232" i="19"/>
  <c r="W232" i="19"/>
  <c r="W227" i="19"/>
  <c r="X226" i="19"/>
  <c r="X218" i="19"/>
  <c r="W218" i="19"/>
  <c r="X209" i="19"/>
  <c r="W209" i="19"/>
  <c r="X195" i="19"/>
  <c r="X188" i="19"/>
  <c r="W188" i="19"/>
  <c r="X187" i="19"/>
  <c r="X186" i="19"/>
  <c r="X182" i="19"/>
  <c r="W182" i="19"/>
  <c r="W177" i="19"/>
  <c r="X176" i="19"/>
  <c r="X168" i="19"/>
  <c r="W168" i="19"/>
  <c r="X159" i="19"/>
  <c r="W159" i="19"/>
  <c r="X145" i="19"/>
  <c r="X138" i="19"/>
  <c r="W138" i="19"/>
  <c r="X137" i="19"/>
  <c r="X136" i="19"/>
  <c r="X132" i="19"/>
  <c r="W132" i="19"/>
  <c r="W127" i="19"/>
  <c r="X126" i="19"/>
  <c r="X118" i="19"/>
  <c r="W118" i="19"/>
  <c r="X109" i="19"/>
  <c r="W109" i="19"/>
  <c r="X95" i="19"/>
  <c r="X88" i="19"/>
  <c r="W88" i="19"/>
  <c r="X87" i="19"/>
  <c r="X86" i="19"/>
  <c r="X82" i="19"/>
  <c r="W82" i="19"/>
  <c r="W77" i="19"/>
  <c r="X76" i="19"/>
  <c r="X68" i="19"/>
  <c r="W68" i="19"/>
  <c r="X59" i="19"/>
  <c r="W59" i="19"/>
  <c r="X45" i="19"/>
  <c r="X38" i="19"/>
  <c r="W38" i="19"/>
  <c r="X37" i="19"/>
  <c r="X36" i="19"/>
  <c r="X32" i="19"/>
  <c r="W32" i="19"/>
  <c r="W27" i="19"/>
  <c r="X26" i="19"/>
  <c r="X18" i="19"/>
  <c r="W18" i="19"/>
  <c r="X9" i="19"/>
  <c r="W9" i="19"/>
  <c r="U245" i="19"/>
  <c r="U238" i="19"/>
  <c r="T238" i="19"/>
  <c r="U237" i="19"/>
  <c r="U236" i="19"/>
  <c r="U232" i="19"/>
  <c r="T232" i="19"/>
  <c r="T227" i="19"/>
  <c r="U226" i="19"/>
  <c r="U218" i="19"/>
  <c r="T218" i="19"/>
  <c r="U209" i="19"/>
  <c r="T209" i="19"/>
  <c r="U195" i="19"/>
  <c r="U188" i="19"/>
  <c r="T188" i="19"/>
  <c r="U187" i="19"/>
  <c r="U186" i="19"/>
  <c r="U182" i="19"/>
  <c r="T182" i="19"/>
  <c r="T177" i="19"/>
  <c r="U176" i="19"/>
  <c r="U168" i="19"/>
  <c r="T168" i="19"/>
  <c r="U159" i="19"/>
  <c r="T159" i="19"/>
  <c r="U145" i="19"/>
  <c r="U138" i="19"/>
  <c r="T138" i="19"/>
  <c r="U137" i="19"/>
  <c r="U136" i="19"/>
  <c r="U132" i="19"/>
  <c r="T132" i="19"/>
  <c r="T127" i="19"/>
  <c r="U126" i="19"/>
  <c r="U118" i="19"/>
  <c r="T118" i="19"/>
  <c r="U109" i="19"/>
  <c r="T109" i="19"/>
  <c r="U95" i="19"/>
  <c r="U88" i="19"/>
  <c r="T88" i="19"/>
  <c r="U87" i="19"/>
  <c r="U86" i="19"/>
  <c r="U82" i="19"/>
  <c r="T82" i="19"/>
  <c r="T77" i="19"/>
  <c r="U76" i="19"/>
  <c r="U68" i="19"/>
  <c r="T68" i="19"/>
  <c r="U59" i="19"/>
  <c r="T59" i="19"/>
  <c r="U45" i="19"/>
  <c r="U38" i="19"/>
  <c r="T38" i="19"/>
  <c r="U37" i="19"/>
  <c r="U36" i="19"/>
  <c r="U32" i="19"/>
  <c r="T32" i="19"/>
  <c r="T27" i="19"/>
  <c r="U26" i="19"/>
  <c r="U18" i="19"/>
  <c r="T18" i="19"/>
  <c r="U9" i="19"/>
  <c r="T9" i="19"/>
  <c r="R245" i="19"/>
  <c r="R238" i="19"/>
  <c r="Q238" i="19"/>
  <c r="R237" i="19"/>
  <c r="R236" i="19"/>
  <c r="R232" i="19"/>
  <c r="Q232" i="19"/>
  <c r="Q227" i="19"/>
  <c r="R226" i="19"/>
  <c r="R218" i="19"/>
  <c r="Q218" i="19"/>
  <c r="R209" i="19"/>
  <c r="Q209" i="19"/>
  <c r="R195" i="19"/>
  <c r="R188" i="19"/>
  <c r="Q188" i="19"/>
  <c r="R187" i="19"/>
  <c r="R186" i="19"/>
  <c r="R182" i="19"/>
  <c r="Q182" i="19"/>
  <c r="Q177" i="19"/>
  <c r="R176" i="19"/>
  <c r="R168" i="19"/>
  <c r="Q168" i="19"/>
  <c r="R159" i="19"/>
  <c r="Q159" i="19"/>
  <c r="R145" i="19"/>
  <c r="R138" i="19"/>
  <c r="Q138" i="19"/>
  <c r="R137" i="19"/>
  <c r="R136" i="19"/>
  <c r="R132" i="19"/>
  <c r="Q132" i="19"/>
  <c r="Q127" i="19"/>
  <c r="R126" i="19"/>
  <c r="R118" i="19"/>
  <c r="Q118" i="19"/>
  <c r="R109" i="19"/>
  <c r="Q109" i="19"/>
  <c r="R95" i="19"/>
  <c r="R88" i="19"/>
  <c r="Q88" i="19"/>
  <c r="R87" i="19"/>
  <c r="R86" i="19"/>
  <c r="R82" i="19"/>
  <c r="Q82" i="19"/>
  <c r="Q77" i="19"/>
  <c r="R76" i="19"/>
  <c r="R68" i="19"/>
  <c r="Q68" i="19"/>
  <c r="R59" i="19"/>
  <c r="Q59" i="19"/>
  <c r="R45" i="19"/>
  <c r="R38" i="19"/>
  <c r="Q38" i="19"/>
  <c r="R37" i="19"/>
  <c r="R36" i="19"/>
  <c r="R32" i="19"/>
  <c r="Q32" i="19"/>
  <c r="Q27" i="19"/>
  <c r="R26" i="19"/>
  <c r="R18" i="19"/>
  <c r="Q18" i="19"/>
  <c r="R9" i="19"/>
  <c r="Q9" i="19"/>
  <c r="O245" i="19"/>
  <c r="O238" i="19"/>
  <c r="N238" i="19"/>
  <c r="O237" i="19"/>
  <c r="O236" i="19"/>
  <c r="O232" i="19"/>
  <c r="N232" i="19"/>
  <c r="N227" i="19"/>
  <c r="O226" i="19"/>
  <c r="O218" i="19"/>
  <c r="N218" i="19"/>
  <c r="O209" i="19"/>
  <c r="N209" i="19"/>
  <c r="O195" i="19"/>
  <c r="O188" i="19"/>
  <c r="N188" i="19"/>
  <c r="O187" i="19"/>
  <c r="O186" i="19"/>
  <c r="O182" i="19"/>
  <c r="N182" i="19"/>
  <c r="N177" i="19"/>
  <c r="O176" i="19"/>
  <c r="O168" i="19"/>
  <c r="N168" i="19"/>
  <c r="O159" i="19"/>
  <c r="N159" i="19"/>
  <c r="O145" i="19"/>
  <c r="O138" i="19"/>
  <c r="N138" i="19"/>
  <c r="O137" i="19"/>
  <c r="O136" i="19"/>
  <c r="O132" i="19"/>
  <c r="N132" i="19"/>
  <c r="N127" i="19"/>
  <c r="O126" i="19"/>
  <c r="O118" i="19"/>
  <c r="N118" i="19"/>
  <c r="O109" i="19"/>
  <c r="N109" i="19"/>
  <c r="O95" i="19"/>
  <c r="O88" i="19"/>
  <c r="N88" i="19"/>
  <c r="O87" i="19"/>
  <c r="O86" i="19"/>
  <c r="O82" i="19"/>
  <c r="N82" i="19"/>
  <c r="N77" i="19"/>
  <c r="O76" i="19"/>
  <c r="O68" i="19"/>
  <c r="N68" i="19"/>
  <c r="O59" i="19"/>
  <c r="N59" i="19"/>
  <c r="O45" i="19"/>
  <c r="O38" i="19"/>
  <c r="N38" i="19"/>
  <c r="O37" i="19"/>
  <c r="O36" i="19"/>
  <c r="O32" i="19"/>
  <c r="N32" i="19"/>
  <c r="N27" i="19"/>
  <c r="O26" i="19"/>
  <c r="O18" i="19"/>
  <c r="N18" i="19"/>
  <c r="O9" i="19"/>
  <c r="N9" i="19"/>
  <c r="L95" i="19"/>
  <c r="L88" i="19"/>
  <c r="K88" i="19"/>
  <c r="L87" i="19"/>
  <c r="L86" i="19"/>
  <c r="L82" i="19"/>
  <c r="K82" i="19"/>
  <c r="K77" i="19"/>
  <c r="L76" i="19"/>
  <c r="L68" i="19"/>
  <c r="K68" i="19"/>
  <c r="L59" i="19"/>
  <c r="K59" i="19"/>
  <c r="L145" i="19"/>
  <c r="L138" i="19"/>
  <c r="K138" i="19"/>
  <c r="L137" i="19"/>
  <c r="L136" i="19"/>
  <c r="L132" i="19"/>
  <c r="K132" i="19"/>
  <c r="K127" i="19"/>
  <c r="L126" i="19"/>
  <c r="L118" i="19"/>
  <c r="K118" i="19"/>
  <c r="L109" i="19"/>
  <c r="K109" i="19"/>
  <c r="L195" i="19"/>
  <c r="L188" i="19"/>
  <c r="K188" i="19"/>
  <c r="L187" i="19"/>
  <c r="L186" i="19"/>
  <c r="L182" i="19"/>
  <c r="K182" i="19"/>
  <c r="K177" i="19"/>
  <c r="L176" i="19"/>
  <c r="L168" i="19"/>
  <c r="K168" i="19"/>
  <c r="L159" i="19"/>
  <c r="K159" i="19"/>
  <c r="L245" i="19"/>
  <c r="L238" i="19"/>
  <c r="K238" i="19"/>
  <c r="L237" i="19"/>
  <c r="L236" i="19"/>
  <c r="L232" i="19"/>
  <c r="K232" i="19"/>
  <c r="K227" i="19"/>
  <c r="L226" i="19"/>
  <c r="L218" i="19"/>
  <c r="K218" i="19"/>
  <c r="L209" i="19"/>
  <c r="K209" i="19"/>
  <c r="L45" i="19"/>
  <c r="L38" i="19"/>
  <c r="K38" i="19"/>
  <c r="L37" i="19"/>
  <c r="K136" i="1"/>
  <c r="N136" i="1"/>
  <c r="O136" i="1" s="1"/>
  <c r="P136" i="1" s="1"/>
  <c r="W136" i="1"/>
  <c r="T137" i="1"/>
  <c r="AA137" i="1" s="1"/>
  <c r="W137" i="1"/>
  <c r="T138" i="1"/>
  <c r="AA138" i="1" s="1"/>
  <c r="W138" i="1"/>
  <c r="K139" i="1"/>
  <c r="N139" i="1"/>
  <c r="O139" i="1" s="1"/>
  <c r="W139" i="1"/>
  <c r="T140" i="1"/>
  <c r="AA140" i="1" s="1"/>
  <c r="W140" i="1"/>
  <c r="T141" i="1"/>
  <c r="AA141" i="1" s="1"/>
  <c r="AC141" i="1" s="1"/>
  <c r="W141" i="1"/>
  <c r="K142" i="1"/>
  <c r="N142" i="1"/>
  <c r="O142" i="1" s="1"/>
  <c r="P142" i="1" s="1"/>
  <c r="T142" i="1"/>
  <c r="AA142" i="1" s="1"/>
  <c r="W142" i="1"/>
  <c r="T143" i="1"/>
  <c r="AA143" i="1" s="1"/>
  <c r="W143" i="1"/>
  <c r="T144" i="1"/>
  <c r="AA144" i="1" s="1"/>
  <c r="W144" i="1"/>
  <c r="K145" i="1"/>
  <c r="L145" i="1" s="1"/>
  <c r="N145" i="1"/>
  <c r="O145" i="1" s="1"/>
  <c r="T145" i="1"/>
  <c r="AE145" i="1" s="1"/>
  <c r="AD145" i="1" s="1"/>
  <c r="W145" i="1"/>
  <c r="T146" i="1"/>
  <c r="AA146" i="1" s="1"/>
  <c r="W146" i="1"/>
  <c r="T147" i="1"/>
  <c r="AA147" i="1" s="1"/>
  <c r="W147" i="1"/>
  <c r="K148" i="1"/>
  <c r="N148" i="1"/>
  <c r="O148" i="1" s="1"/>
  <c r="P148" i="1" s="1"/>
  <c r="T148" i="1"/>
  <c r="AA148" i="1" s="1"/>
  <c r="W148" i="1"/>
  <c r="T149" i="1"/>
  <c r="AA149" i="1" s="1"/>
  <c r="W149" i="1"/>
  <c r="T150" i="1"/>
  <c r="AA150" i="1" s="1"/>
  <c r="W150" i="1"/>
  <c r="W97" i="1"/>
  <c r="T97" i="1"/>
  <c r="N97" i="1"/>
  <c r="O97" i="1" s="1"/>
  <c r="P97" i="1" s="1"/>
  <c r="K97" i="1"/>
  <c r="AE146" i="1" l="1"/>
  <c r="AD146" i="1" s="1"/>
  <c r="AA145" i="1"/>
  <c r="AC145" i="1" s="1"/>
  <c r="AE141" i="1"/>
  <c r="AD141" i="1" s="1"/>
  <c r="AB141" i="1"/>
  <c r="AE140" i="1"/>
  <c r="AD140" i="1" s="1"/>
  <c r="AC67" i="1"/>
  <c r="AB67" i="1"/>
  <c r="AF67" i="1" s="1"/>
  <c r="AC146" i="1"/>
  <c r="AB146" i="1"/>
  <c r="AC140" i="1"/>
  <c r="AB140" i="1"/>
  <c r="AC147" i="1"/>
  <c r="AB147" i="1"/>
  <c r="AZ84" i="18"/>
  <c r="AP104" i="18"/>
  <c r="AP24" i="18"/>
  <c r="AF44" i="18"/>
  <c r="V64" i="18"/>
  <c r="L84" i="18"/>
  <c r="AZ64" i="18"/>
  <c r="AP84" i="18"/>
  <c r="AF104" i="18"/>
  <c r="AF24" i="18"/>
  <c r="V44" i="18"/>
  <c r="L64" i="18"/>
  <c r="AZ44" i="18"/>
  <c r="AP64" i="18"/>
  <c r="AF84" i="18"/>
  <c r="V104" i="18"/>
  <c r="V24" i="18"/>
  <c r="L44" i="18"/>
  <c r="AZ104" i="18"/>
  <c r="AZ24" i="18"/>
  <c r="AP44" i="18"/>
  <c r="AF64" i="18"/>
  <c r="V84" i="18"/>
  <c r="L104" i="18"/>
  <c r="L24" i="18"/>
  <c r="BD44" i="18"/>
  <c r="AT64" i="18"/>
  <c r="AJ84" i="18"/>
  <c r="Z104" i="18"/>
  <c r="Z24" i="18"/>
  <c r="P44" i="18"/>
  <c r="BD104" i="18"/>
  <c r="BD24" i="18"/>
  <c r="AT44" i="18"/>
  <c r="AJ64" i="18"/>
  <c r="Z84" i="18"/>
  <c r="P104" i="18"/>
  <c r="P24" i="18"/>
  <c r="BD84" i="18"/>
  <c r="AT104" i="18"/>
  <c r="AT24" i="18"/>
  <c r="AJ44" i="18"/>
  <c r="Z64" i="18"/>
  <c r="P84" i="18"/>
  <c r="BD64" i="18"/>
  <c r="AT84" i="18"/>
  <c r="AJ104" i="18"/>
  <c r="AJ24" i="18"/>
  <c r="Z44" i="18"/>
  <c r="P64" i="18"/>
  <c r="L136" i="1"/>
  <c r="AA136" i="1" s="1"/>
  <c r="AX104" i="18"/>
  <c r="AX24" i="18"/>
  <c r="AN44" i="18"/>
  <c r="AD64" i="18"/>
  <c r="T84" i="18"/>
  <c r="J104" i="18"/>
  <c r="J24" i="18"/>
  <c r="AX84" i="18"/>
  <c r="AN104" i="18"/>
  <c r="AN24" i="18"/>
  <c r="AD44" i="18"/>
  <c r="T64" i="18"/>
  <c r="J84" i="18"/>
  <c r="AX64" i="18"/>
  <c r="AN84" i="18"/>
  <c r="AD104" i="18"/>
  <c r="AD24" i="18"/>
  <c r="T44" i="18"/>
  <c r="J64" i="18"/>
  <c r="AX44" i="18"/>
  <c r="AN64" i="18"/>
  <c r="AD84" i="18"/>
  <c r="T104" i="18"/>
  <c r="T24" i="18"/>
  <c r="J44" i="18"/>
  <c r="AE147" i="1"/>
  <c r="AD147" i="1" s="1"/>
  <c r="L142" i="1"/>
  <c r="BB64" i="18"/>
  <c r="AR84" i="18"/>
  <c r="AH104" i="18"/>
  <c r="AH24" i="18"/>
  <c r="X44" i="18"/>
  <c r="N64" i="18"/>
  <c r="BB44" i="18"/>
  <c r="AR64" i="18"/>
  <c r="AH84" i="18"/>
  <c r="X104" i="18"/>
  <c r="X24" i="18"/>
  <c r="N44" i="18"/>
  <c r="BB104" i="18"/>
  <c r="BB24" i="18"/>
  <c r="AR44" i="18"/>
  <c r="AH64" i="18"/>
  <c r="X84" i="18"/>
  <c r="N104" i="18"/>
  <c r="N24" i="18"/>
  <c r="BB84" i="18"/>
  <c r="AR104" i="18"/>
  <c r="AR24" i="18"/>
  <c r="AH44" i="18"/>
  <c r="X64" i="18"/>
  <c r="N84" i="18"/>
  <c r="L148" i="1"/>
  <c r="BF104" i="18"/>
  <c r="BF24" i="18"/>
  <c r="AV44" i="18"/>
  <c r="AL64" i="18"/>
  <c r="AB84" i="18"/>
  <c r="R104" i="18"/>
  <c r="R24" i="18"/>
  <c r="BF84" i="18"/>
  <c r="AV104" i="18"/>
  <c r="AV24" i="18"/>
  <c r="AL44" i="18"/>
  <c r="AB64" i="18"/>
  <c r="R84" i="18"/>
  <c r="BF64" i="18"/>
  <c r="AV84" i="18"/>
  <c r="AL104" i="18"/>
  <c r="AL24" i="18"/>
  <c r="AB44" i="18"/>
  <c r="R64" i="18"/>
  <c r="BF44" i="18"/>
  <c r="AV64" i="18"/>
  <c r="AL84" i="18"/>
  <c r="AB104" i="18"/>
  <c r="AB24" i="18"/>
  <c r="R44" i="18"/>
  <c r="L139" i="1"/>
  <c r="AA139" i="1" s="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49" i="1"/>
  <c r="AC149" i="1"/>
  <c r="P139" i="1"/>
  <c r="AE139" i="1" s="1"/>
  <c r="AD139" i="1" s="1"/>
  <c r="Q139" i="1"/>
  <c r="AB138" i="1"/>
  <c r="AC138" i="1"/>
  <c r="Q145" i="1"/>
  <c r="P145" i="1"/>
  <c r="AB144" i="1"/>
  <c r="AC144" i="1"/>
  <c r="AB142" i="1"/>
  <c r="AC142" i="1"/>
  <c r="AB150" i="1"/>
  <c r="AC150" i="1"/>
  <c r="AB148" i="1"/>
  <c r="AC148" i="1"/>
  <c r="AB137" i="1"/>
  <c r="AC137" i="1"/>
  <c r="AB143" i="1"/>
  <c r="AC143" i="1"/>
  <c r="Q148" i="1"/>
  <c r="Q142" i="1"/>
  <c r="Q136" i="1"/>
  <c r="AE150" i="1"/>
  <c r="AD150" i="1" s="1"/>
  <c r="AE149" i="1"/>
  <c r="AD149" i="1" s="1"/>
  <c r="AE148" i="1"/>
  <c r="AD148" i="1" s="1"/>
  <c r="AE144" i="1"/>
  <c r="AD144" i="1" s="1"/>
  <c r="AE143" i="1"/>
  <c r="AD143" i="1" s="1"/>
  <c r="AE142" i="1"/>
  <c r="AD142" i="1" s="1"/>
  <c r="AE138" i="1"/>
  <c r="AD138" i="1" s="1"/>
  <c r="AE137" i="1"/>
  <c r="AD137" i="1" s="1"/>
  <c r="AE136" i="1"/>
  <c r="AD136" i="1" s="1"/>
  <c r="Q97" i="1"/>
  <c r="AE97" i="1"/>
  <c r="AD97" i="1" s="1"/>
  <c r="L97" i="1"/>
  <c r="AA97" i="1" s="1"/>
  <c r="AB139" i="1" l="1"/>
  <c r="V102" i="19" s="1"/>
  <c r="AC139" i="1"/>
  <c r="AB136" i="1"/>
  <c r="S201" i="19" s="1"/>
  <c r="AC136" i="1"/>
  <c r="X52" i="19"/>
  <c r="R52" i="19"/>
  <c r="O52" i="19"/>
  <c r="AB145" i="1"/>
  <c r="S254" i="19" s="1"/>
  <c r="R102" i="19"/>
  <c r="U52" i="19"/>
  <c r="AF141" i="1"/>
  <c r="O152" i="19"/>
  <c r="L202" i="19"/>
  <c r="L252" i="19"/>
  <c r="L102" i="19"/>
  <c r="X102" i="19"/>
  <c r="O252" i="19"/>
  <c r="L52" i="19"/>
  <c r="L152" i="19"/>
  <c r="O102" i="19"/>
  <c r="X152" i="19"/>
  <c r="O202" i="19"/>
  <c r="R252" i="19"/>
  <c r="R152" i="19"/>
  <c r="U252" i="19"/>
  <c r="U102" i="19"/>
  <c r="X202" i="19"/>
  <c r="R202" i="19"/>
  <c r="X252" i="19"/>
  <c r="U152" i="19"/>
  <c r="U202" i="19"/>
  <c r="AF147"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3"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37"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0"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0"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46"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S251" i="19"/>
  <c r="V151" i="19"/>
  <c r="V101" i="19"/>
  <c r="M151" i="19"/>
  <c r="P251" i="19"/>
  <c r="M101" i="19"/>
  <c r="M251" i="19"/>
  <c r="J101" i="19"/>
  <c r="S101" i="19"/>
  <c r="AF144" i="1"/>
  <c r="AF136" i="1"/>
  <c r="AF148" i="1"/>
  <c r="AF142" i="1"/>
  <c r="AF138" i="1"/>
  <c r="AF149" i="1"/>
  <c r="AB97" i="1"/>
  <c r="AF97" i="1" s="1"/>
  <c r="AC97" i="1"/>
  <c r="P151" i="19" l="1"/>
  <c r="P201" i="19"/>
  <c r="P101" i="19"/>
  <c r="V201" i="19"/>
  <c r="J152" i="19"/>
  <c r="J51" i="19"/>
  <c r="S151" i="19"/>
  <c r="S51" i="19"/>
  <c r="J52" i="19"/>
  <c r="J251" i="19"/>
  <c r="V51" i="19"/>
  <c r="M102" i="19"/>
  <c r="J201" i="19"/>
  <c r="M201" i="19"/>
  <c r="M51" i="19"/>
  <c r="V251" i="19"/>
  <c r="M202" i="19"/>
  <c r="P152" i="19"/>
  <c r="J151" i="19"/>
  <c r="P51" i="19"/>
  <c r="V252" i="19"/>
  <c r="P252" i="19"/>
  <c r="S152" i="19"/>
  <c r="M152" i="19"/>
  <c r="J102" i="19"/>
  <c r="P102" i="19"/>
  <c r="M52" i="19"/>
  <c r="S202" i="19"/>
  <c r="J202" i="19"/>
  <c r="V152" i="19"/>
  <c r="P202" i="19"/>
  <c r="S252" i="19"/>
  <c r="V154" i="19"/>
  <c r="J252" i="19"/>
  <c r="S52" i="19"/>
  <c r="V202" i="19"/>
  <c r="V52" i="19"/>
  <c r="P52" i="19"/>
  <c r="M252" i="19"/>
  <c r="S102" i="19"/>
  <c r="AF139" i="1"/>
  <c r="M204" i="19"/>
  <c r="J204" i="19"/>
  <c r="J104" i="19"/>
  <c r="P54" i="19"/>
  <c r="P254" i="19"/>
  <c r="J54" i="19"/>
  <c r="V204" i="19"/>
  <c r="M154" i="19"/>
  <c r="P104" i="19"/>
  <c r="J254" i="19"/>
  <c r="M254" i="19"/>
  <c r="V54" i="19"/>
  <c r="M54" i="19"/>
  <c r="P204" i="19"/>
  <c r="V254" i="19"/>
  <c r="P154" i="19"/>
  <c r="S154" i="19"/>
  <c r="V104" i="19"/>
  <c r="AF145" i="1"/>
  <c r="J154" i="19"/>
  <c r="M104" i="19"/>
  <c r="S204" i="19"/>
  <c r="S104" i="19"/>
  <c r="S54" i="19"/>
  <c r="J238" i="19"/>
  <c r="S188" i="19"/>
  <c r="S238" i="19"/>
  <c r="J88" i="19"/>
  <c r="M238" i="19"/>
  <c r="V138" i="19"/>
  <c r="V188" i="19"/>
  <c r="M88" i="19"/>
  <c r="S38" i="19"/>
  <c r="J138" i="19"/>
  <c r="M188" i="19"/>
  <c r="M138" i="19"/>
  <c r="M38" i="19"/>
  <c r="P138" i="19"/>
  <c r="J38" i="19"/>
  <c r="S88" i="19"/>
  <c r="J188" i="19"/>
  <c r="P88" i="19"/>
  <c r="P38" i="19"/>
  <c r="P188" i="19"/>
  <c r="V88" i="19"/>
  <c r="V38" i="19"/>
  <c r="V238" i="19"/>
  <c r="P238" i="19"/>
  <c r="S138" i="19"/>
  <c r="L36" i="19"/>
  <c r="L32" i="19"/>
  <c r="K32" i="19"/>
  <c r="L26" i="19"/>
  <c r="L18" i="19"/>
  <c r="K18" i="19"/>
  <c r="L9" i="19"/>
  <c r="K9" i="19"/>
  <c r="F221" i="13" l="1"/>
  <c r="F220" i="13"/>
  <c r="F219" i="13"/>
  <c r="F218" i="13"/>
  <c r="F217" i="13"/>
  <c r="F216" i="13"/>
  <c r="F215" i="13"/>
  <c r="F214" i="13"/>
  <c r="F213" i="13"/>
  <c r="F212" i="13"/>
  <c r="F211" i="13"/>
  <c r="F210" i="13"/>
  <c r="W82" i="1" l="1"/>
  <c r="T82" i="1"/>
  <c r="K82" i="1"/>
  <c r="L82" i="1" l="1"/>
  <c r="AA82" i="1" s="1"/>
  <c r="AB82" i="1" l="1"/>
  <c r="AC82" i="1"/>
  <c r="T30" i="1" l="1"/>
  <c r="T18" i="1" l="1"/>
  <c r="AE18" i="1" s="1"/>
  <c r="AD18" i="1" s="1"/>
  <c r="T17" i="1"/>
  <c r="AE17" i="1" s="1"/>
  <c r="AD17" i="1" s="1"/>
  <c r="W133" i="1"/>
  <c r="T133" i="1"/>
  <c r="K133" i="1"/>
  <c r="W132" i="1"/>
  <c r="T132" i="1"/>
  <c r="AD132" i="1" s="1"/>
  <c r="W131" i="1"/>
  <c r="T131" i="1"/>
  <c r="AD131" i="1" s="1"/>
  <c r="W130" i="1"/>
  <c r="T130" i="1"/>
  <c r="K130" i="1"/>
  <c r="W129" i="1"/>
  <c r="T129" i="1"/>
  <c r="AD129" i="1" s="1"/>
  <c r="W128" i="1"/>
  <c r="T128" i="1"/>
  <c r="AD128" i="1" s="1"/>
  <c r="W127" i="1"/>
  <c r="T127" i="1"/>
  <c r="K127" i="1"/>
  <c r="T126" i="1"/>
  <c r="AE126" i="1" s="1"/>
  <c r="AD126" i="1" s="1"/>
  <c r="T125" i="1"/>
  <c r="AE125" i="1" s="1"/>
  <c r="AD125" i="1" s="1"/>
  <c r="W124" i="1"/>
  <c r="T124" i="1"/>
  <c r="K124" i="1"/>
  <c r="L133" i="1" l="1"/>
  <c r="AA133" i="1" s="1"/>
  <c r="L130" i="1"/>
  <c r="AA130" i="1" s="1"/>
  <c r="AA131" i="1" s="1"/>
  <c r="AA132" i="1" s="1"/>
  <c r="L127" i="1"/>
  <c r="AA127" i="1" s="1"/>
  <c r="AA128" i="1" s="1"/>
  <c r="AA129" i="1" s="1"/>
  <c r="L124" i="1"/>
  <c r="AA124" i="1" s="1"/>
  <c r="AA125" i="1" s="1"/>
  <c r="AA126" i="1" s="1"/>
  <c r="T120" i="1"/>
  <c r="W119" i="1"/>
  <c r="T119" i="1"/>
  <c r="W118" i="1"/>
  <c r="T118" i="1"/>
  <c r="K118" i="1"/>
  <c r="W117" i="1"/>
  <c r="T117" i="1"/>
  <c r="W116" i="1"/>
  <c r="T116" i="1"/>
  <c r="W115" i="1"/>
  <c r="T115" i="1"/>
  <c r="K115" i="1"/>
  <c r="T114" i="1"/>
  <c r="W113" i="1"/>
  <c r="T113" i="1"/>
  <c r="W112" i="1"/>
  <c r="T112" i="1"/>
  <c r="K112" i="1"/>
  <c r="T111" i="1"/>
  <c r="W110" i="1"/>
  <c r="T110" i="1"/>
  <c r="W109" i="1"/>
  <c r="T109" i="1"/>
  <c r="K109" i="1"/>
  <c r="T108" i="1"/>
  <c r="W107" i="1"/>
  <c r="T107" i="1"/>
  <c r="W106" i="1"/>
  <c r="T106" i="1"/>
  <c r="K106" i="1"/>
  <c r="K121" i="1"/>
  <c r="K103" i="1"/>
  <c r="K100" i="1"/>
  <c r="K94" i="1"/>
  <c r="K91" i="1"/>
  <c r="K88" i="1"/>
  <c r="K85" i="1"/>
  <c r="K79" i="1"/>
  <c r="K76" i="1"/>
  <c r="K73" i="1"/>
  <c r="K70" i="1"/>
  <c r="K64" i="1"/>
  <c r="K61" i="1"/>
  <c r="K58" i="1"/>
  <c r="K55" i="1"/>
  <c r="K52" i="1"/>
  <c r="K49" i="1"/>
  <c r="K46" i="1"/>
  <c r="K43" i="1"/>
  <c r="K40" i="1"/>
  <c r="K37" i="1"/>
  <c r="K34" i="1"/>
  <c r="K31" i="1"/>
  <c r="K28" i="1"/>
  <c r="K25" i="1"/>
  <c r="K22" i="1"/>
  <c r="K19" i="1"/>
  <c r="K16" i="1"/>
  <c r="K13" i="1"/>
  <c r="K10" i="1"/>
  <c r="T123" i="1"/>
  <c r="AE123" i="1" s="1"/>
  <c r="AD123" i="1" s="1"/>
  <c r="T122" i="1"/>
  <c r="AE122" i="1" s="1"/>
  <c r="AD122" i="1" s="1"/>
  <c r="W121" i="1"/>
  <c r="T121" i="1"/>
  <c r="T105" i="1"/>
  <c r="W104" i="1"/>
  <c r="T104" i="1"/>
  <c r="T102" i="1"/>
  <c r="W101" i="1"/>
  <c r="T101" i="1"/>
  <c r="W100" i="1"/>
  <c r="T100" i="1"/>
  <c r="T93" i="1"/>
  <c r="W92" i="1"/>
  <c r="T92" i="1"/>
  <c r="T90" i="1"/>
  <c r="W91" i="1"/>
  <c r="T91" i="1"/>
  <c r="W89" i="1"/>
  <c r="T89" i="1"/>
  <c r="AA89" i="1" s="1"/>
  <c r="T87" i="1"/>
  <c r="T86" i="1"/>
  <c r="W81" i="1"/>
  <c r="T81" i="1"/>
  <c r="W80" i="1"/>
  <c r="T80" i="1"/>
  <c r="W78" i="1"/>
  <c r="T78" i="1"/>
  <c r="AD78" i="1" s="1"/>
  <c r="W77" i="1"/>
  <c r="T77" i="1"/>
  <c r="T75" i="1"/>
  <c r="W73" i="1"/>
  <c r="T73" i="1"/>
  <c r="T74" i="1"/>
  <c r="W70" i="1"/>
  <c r="T70" i="1"/>
  <c r="T63" i="1"/>
  <c r="T60" i="1"/>
  <c r="AE60" i="1" s="1"/>
  <c r="AD60" i="1" s="1"/>
  <c r="T59" i="1"/>
  <c r="T57" i="1"/>
  <c r="AE57" i="1" s="1"/>
  <c r="AD57" i="1" s="1"/>
  <c r="T56" i="1"/>
  <c r="T54" i="1"/>
  <c r="AE54" i="1" s="1"/>
  <c r="AD54" i="1" s="1"/>
  <c r="W53" i="1"/>
  <c r="T53" i="1"/>
  <c r="T51" i="1"/>
  <c r="T50" i="1"/>
  <c r="T48" i="1"/>
  <c r="AE48" i="1" s="1"/>
  <c r="AD48" i="1" s="1"/>
  <c r="W49" i="1"/>
  <c r="T49" i="1"/>
  <c r="T47" i="1"/>
  <c r="T45" i="1"/>
  <c r="AE45" i="1" s="1"/>
  <c r="AD45" i="1" s="1"/>
  <c r="T44" i="1"/>
  <c r="T42" i="1"/>
  <c r="AE42" i="1" s="1"/>
  <c r="AD42" i="1" s="1"/>
  <c r="W41" i="1"/>
  <c r="T41" i="1"/>
  <c r="W43" i="1"/>
  <c r="T43" i="1"/>
  <c r="W40" i="1"/>
  <c r="T40" i="1"/>
  <c r="T39" i="1"/>
  <c r="T38" i="1"/>
  <c r="W37" i="1"/>
  <c r="T37" i="1"/>
  <c r="T36" i="1"/>
  <c r="AE36" i="1" s="1"/>
  <c r="AD36" i="1" s="1"/>
  <c r="T35" i="1"/>
  <c r="W34" i="1"/>
  <c r="T34" i="1"/>
  <c r="T33" i="1"/>
  <c r="AE33" i="1" s="1"/>
  <c r="AD33" i="1" s="1"/>
  <c r="T32" i="1"/>
  <c r="W31" i="1"/>
  <c r="T31" i="1"/>
  <c r="W30" i="1"/>
  <c r="AD30" i="1"/>
  <c r="W29" i="1"/>
  <c r="T29" i="1"/>
  <c r="W28" i="1"/>
  <c r="T28" i="1"/>
  <c r="T27" i="1"/>
  <c r="AE27" i="1" s="1"/>
  <c r="AD27" i="1" s="1"/>
  <c r="W26" i="1"/>
  <c r="T26" i="1"/>
  <c r="W25" i="1"/>
  <c r="T25" i="1"/>
  <c r="T24" i="1"/>
  <c r="AE24" i="1" s="1"/>
  <c r="AD24" i="1" s="1"/>
  <c r="T23" i="1"/>
  <c r="W22" i="1"/>
  <c r="T22" i="1"/>
  <c r="W21" i="1"/>
  <c r="T21" i="1"/>
  <c r="AE21" i="1" s="1"/>
  <c r="AD21" i="1" s="1"/>
  <c r="W20" i="1"/>
  <c r="T20" i="1"/>
  <c r="AE23" i="1" l="1"/>
  <c r="AD23" i="1" s="1"/>
  <c r="AD29" i="1"/>
  <c r="AE35" i="1"/>
  <c r="AD35" i="1" s="1"/>
  <c r="AD53" i="1"/>
  <c r="AE59" i="1"/>
  <c r="AD59" i="1" s="1"/>
  <c r="AD77" i="1"/>
  <c r="AE86" i="1"/>
  <c r="AD86" i="1" s="1"/>
  <c r="AE90" i="1"/>
  <c r="AD90" i="1" s="1"/>
  <c r="AA90" i="1"/>
  <c r="AE111" i="1"/>
  <c r="AD111" i="1" s="1"/>
  <c r="AD116" i="1"/>
  <c r="AE20" i="1"/>
  <c r="AD20" i="1" s="1"/>
  <c r="AD26" i="1"/>
  <c r="AE32" i="1"/>
  <c r="AD32" i="1" s="1"/>
  <c r="AE44" i="1"/>
  <c r="AD44" i="1" s="1"/>
  <c r="AE47" i="1"/>
  <c r="AD47" i="1" s="1"/>
  <c r="AE51" i="1"/>
  <c r="AD51" i="1" s="1"/>
  <c r="AE74" i="1"/>
  <c r="AD74" i="1" s="1"/>
  <c r="AE75" i="1"/>
  <c r="AD75" i="1" s="1"/>
  <c r="AE87" i="1"/>
  <c r="AD87" i="1" s="1"/>
  <c r="AD92" i="1"/>
  <c r="AD101" i="1"/>
  <c r="AD104" i="1"/>
  <c r="AE108" i="1"/>
  <c r="AD108" i="1" s="1"/>
  <c r="AD113" i="1"/>
  <c r="AE50" i="1"/>
  <c r="AD50" i="1" s="1"/>
  <c r="AE56" i="1"/>
  <c r="AD56" i="1" s="1"/>
  <c r="AE93" i="1"/>
  <c r="AD93" i="1" s="1"/>
  <c r="AE102" i="1"/>
  <c r="AD102" i="1" s="1"/>
  <c r="AE105" i="1"/>
  <c r="AD105" i="1" s="1"/>
  <c r="AD107" i="1"/>
  <c r="AE114" i="1"/>
  <c r="AD114" i="1" s="1"/>
  <c r="AE119" i="1"/>
  <c r="AD119" i="1" s="1"/>
  <c r="AD110" i="1"/>
  <c r="AD117" i="1"/>
  <c r="AE89" i="1"/>
  <c r="AD89" i="1" s="1"/>
  <c r="AD41" i="1"/>
  <c r="AB133" i="1"/>
  <c r="AC133" i="1"/>
  <c r="AB130" i="1"/>
  <c r="AC130" i="1"/>
  <c r="AB132" i="1"/>
  <c r="AC132" i="1"/>
  <c r="AB131" i="1"/>
  <c r="AC131" i="1"/>
  <c r="AB127" i="1"/>
  <c r="AC127" i="1"/>
  <c r="AB129" i="1"/>
  <c r="AC129" i="1"/>
  <c r="AB128" i="1"/>
  <c r="AC128" i="1"/>
  <c r="AB124" i="1"/>
  <c r="AC124" i="1"/>
  <c r="AB126" i="1"/>
  <c r="AC126" i="1"/>
  <c r="AB125" i="1"/>
  <c r="AC125" i="1"/>
  <c r="L118" i="1"/>
  <c r="AA118" i="1" s="1"/>
  <c r="AA119" i="1" s="1"/>
  <c r="L115" i="1"/>
  <c r="AA115" i="1" s="1"/>
  <c r="AA116" i="1" s="1"/>
  <c r="AA117" i="1" s="1"/>
  <c r="L112" i="1"/>
  <c r="AA112" i="1" s="1"/>
  <c r="AA113" i="1" s="1"/>
  <c r="AA114" i="1" s="1"/>
  <c r="L109" i="1"/>
  <c r="AA109" i="1" s="1"/>
  <c r="AA110" i="1" s="1"/>
  <c r="AA111" i="1" s="1"/>
  <c r="L106" i="1"/>
  <c r="AA106" i="1" s="1"/>
  <c r="AA107" i="1" s="1"/>
  <c r="AA108" i="1" s="1"/>
  <c r="L121" i="1"/>
  <c r="AA121" i="1" s="1"/>
  <c r="AA122" i="1" s="1"/>
  <c r="AA123" i="1" s="1"/>
  <c r="L103" i="1"/>
  <c r="L100" i="1"/>
  <c r="AA100" i="1" s="1"/>
  <c r="AA101" i="1" s="1"/>
  <c r="AA102" i="1" s="1"/>
  <c r="L94" i="1"/>
  <c r="L91" i="1"/>
  <c r="AA91" i="1" s="1"/>
  <c r="AA92" i="1" s="1"/>
  <c r="AA93" i="1" s="1"/>
  <c r="L88" i="1"/>
  <c r="L85" i="1"/>
  <c r="L79" i="1"/>
  <c r="L76" i="1"/>
  <c r="L73" i="1"/>
  <c r="AA73" i="1" s="1"/>
  <c r="AA74" i="1" s="1"/>
  <c r="AA75" i="1" s="1"/>
  <c r="L70" i="1"/>
  <c r="AA70" i="1" s="1"/>
  <c r="L64" i="1"/>
  <c r="L61" i="1"/>
  <c r="L58" i="1"/>
  <c r="L55" i="1"/>
  <c r="L52" i="1"/>
  <c r="L49" i="1"/>
  <c r="AA49" i="1" s="1"/>
  <c r="AA50" i="1" s="1"/>
  <c r="AA51" i="1" s="1"/>
  <c r="L46" i="1"/>
  <c r="L43" i="1"/>
  <c r="AA43" i="1" s="1"/>
  <c r="AA44" i="1" s="1"/>
  <c r="AA45" i="1" s="1"/>
  <c r="L40" i="1"/>
  <c r="AA40" i="1" s="1"/>
  <c r="AA41" i="1" s="1"/>
  <c r="AA42" i="1" s="1"/>
  <c r="L37" i="1"/>
  <c r="AA37" i="1" s="1"/>
  <c r="L34" i="1"/>
  <c r="AA34" i="1" s="1"/>
  <c r="AA35" i="1" s="1"/>
  <c r="AA36" i="1" s="1"/>
  <c r="L31" i="1"/>
  <c r="AA31" i="1" s="1"/>
  <c r="AA32" i="1" s="1"/>
  <c r="AA33" i="1" s="1"/>
  <c r="L28" i="1"/>
  <c r="AA28" i="1" s="1"/>
  <c r="AA29" i="1" s="1"/>
  <c r="AA30" i="1" s="1"/>
  <c r="L25" i="1"/>
  <c r="AA25" i="1" s="1"/>
  <c r="AA26" i="1" s="1"/>
  <c r="AA27" i="1" s="1"/>
  <c r="L22" i="1"/>
  <c r="AA22" i="1" s="1"/>
  <c r="AA23" i="1" s="1"/>
  <c r="AA24" i="1" s="1"/>
  <c r="L19" i="1"/>
  <c r="L16" i="1"/>
  <c r="L13" i="1"/>
  <c r="L10" i="1"/>
  <c r="T16" i="1"/>
  <c r="W16" i="1"/>
  <c r="T19" i="1"/>
  <c r="W19" i="1"/>
  <c r="T46" i="1"/>
  <c r="W46" i="1"/>
  <c r="T52" i="1"/>
  <c r="W52" i="1"/>
  <c r="T55" i="1"/>
  <c r="W55" i="1"/>
  <c r="T58" i="1"/>
  <c r="W58" i="1"/>
  <c r="T61" i="1"/>
  <c r="W61" i="1"/>
  <c r="T64" i="1"/>
  <c r="W64" i="1"/>
  <c r="T76" i="1"/>
  <c r="W76" i="1"/>
  <c r="T79" i="1"/>
  <c r="W79" i="1"/>
  <c r="T85" i="1"/>
  <c r="W85" i="1"/>
  <c r="T88" i="1"/>
  <c r="W88" i="1"/>
  <c r="T94" i="1"/>
  <c r="W94" i="1"/>
  <c r="T103" i="1"/>
  <c r="W103" i="1"/>
  <c r="T14" i="1"/>
  <c r="T15" i="1"/>
  <c r="T11" i="1"/>
  <c r="T12" i="1"/>
  <c r="W147" i="19" l="1"/>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79" i="1"/>
  <c r="AA80" i="1" s="1"/>
  <c r="AA81" i="1" s="1"/>
  <c r="AB81" i="1" s="1"/>
  <c r="AA88" i="1"/>
  <c r="AF131" i="1"/>
  <c r="AF129" i="1"/>
  <c r="AF128" i="1"/>
  <c r="AF125" i="1"/>
  <c r="AF126" i="1"/>
  <c r="AF132" i="1"/>
  <c r="AB118" i="1"/>
  <c r="AC118" i="1"/>
  <c r="AB119" i="1"/>
  <c r="AC119" i="1"/>
  <c r="AB116" i="1"/>
  <c r="AC116" i="1"/>
  <c r="AB115" i="1"/>
  <c r="AC115" i="1"/>
  <c r="AB117" i="1"/>
  <c r="AC117" i="1"/>
  <c r="AB112" i="1"/>
  <c r="AC112" i="1"/>
  <c r="AB113" i="1"/>
  <c r="AC113" i="1"/>
  <c r="AB114" i="1"/>
  <c r="AC114" i="1"/>
  <c r="AB109" i="1"/>
  <c r="AC109" i="1"/>
  <c r="AB110" i="1"/>
  <c r="AC110" i="1"/>
  <c r="AB111" i="1"/>
  <c r="AC111" i="1"/>
  <c r="AB106" i="1"/>
  <c r="AC106" i="1"/>
  <c r="AB107" i="1"/>
  <c r="AC107" i="1"/>
  <c r="AB108" i="1"/>
  <c r="AC108" i="1"/>
  <c r="AB123" i="1"/>
  <c r="AC123" i="1"/>
  <c r="AB122" i="1"/>
  <c r="AC122" i="1"/>
  <c r="AB121" i="1"/>
  <c r="AC121" i="1"/>
  <c r="AB102" i="1"/>
  <c r="AC102" i="1"/>
  <c r="AB101" i="1"/>
  <c r="AC101" i="1"/>
  <c r="AB100" i="1"/>
  <c r="AC100" i="1"/>
  <c r="AB93" i="1"/>
  <c r="AC93" i="1"/>
  <c r="AB92" i="1"/>
  <c r="AC92" i="1"/>
  <c r="AB90" i="1"/>
  <c r="AC90" i="1"/>
  <c r="AB91" i="1"/>
  <c r="AC91" i="1"/>
  <c r="AB89" i="1"/>
  <c r="AC89" i="1"/>
  <c r="AB75" i="1"/>
  <c r="AC75" i="1"/>
  <c r="AB73" i="1"/>
  <c r="AC73" i="1"/>
  <c r="AB74" i="1"/>
  <c r="AC74" i="1"/>
  <c r="AB70" i="1"/>
  <c r="AC70" i="1"/>
  <c r="AB51" i="1"/>
  <c r="AC51" i="1"/>
  <c r="AB50" i="1"/>
  <c r="AC50" i="1"/>
  <c r="AB49" i="1"/>
  <c r="AC49" i="1"/>
  <c r="AB45" i="1"/>
  <c r="AC45" i="1"/>
  <c r="AB44" i="1"/>
  <c r="AC44" i="1"/>
  <c r="AB42" i="1"/>
  <c r="AC42" i="1"/>
  <c r="AB41" i="1"/>
  <c r="AC41" i="1"/>
  <c r="AB43" i="1"/>
  <c r="AC43" i="1"/>
  <c r="AB40" i="1"/>
  <c r="AC40"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AB24" i="1"/>
  <c r="AC24" i="1"/>
  <c r="AB23" i="1"/>
  <c r="AC23" i="1"/>
  <c r="AB22" i="1"/>
  <c r="AC22" i="1"/>
  <c r="T8" i="1"/>
  <c r="W8" i="1"/>
  <c r="T9" i="1"/>
  <c r="T7" i="1"/>
  <c r="T10" i="1"/>
  <c r="T13" i="1"/>
  <c r="X63" i="19" l="1"/>
  <c r="U113" i="19"/>
  <c r="X113" i="19"/>
  <c r="U163" i="19"/>
  <c r="R213" i="19"/>
  <c r="X163" i="19"/>
  <c r="U213" i="19"/>
  <c r="X213" i="19"/>
  <c r="X13" i="19"/>
  <c r="U63" i="19"/>
  <c r="R63" i="19"/>
  <c r="O113" i="19"/>
  <c r="R163" i="19"/>
  <c r="R113" i="19"/>
  <c r="U13" i="19"/>
  <c r="O213" i="19"/>
  <c r="R13" i="19"/>
  <c r="O63" i="19"/>
  <c r="O163" i="19"/>
  <c r="L163" i="19"/>
  <c r="L113" i="19"/>
  <c r="L63" i="19"/>
  <c r="O13" i="19"/>
  <c r="L213" i="19"/>
  <c r="W66" i="19"/>
  <c r="T116" i="19"/>
  <c r="W116" i="19"/>
  <c r="T166" i="19"/>
  <c r="T16" i="19"/>
  <c r="Q16" i="19"/>
  <c r="W216" i="19"/>
  <c r="W16" i="19"/>
  <c r="T66" i="19"/>
  <c r="Q66" i="19"/>
  <c r="N116" i="19"/>
  <c r="Q166" i="19"/>
  <c r="Q216" i="19"/>
  <c r="Q116" i="19"/>
  <c r="N166" i="19"/>
  <c r="W166" i="19"/>
  <c r="T216" i="19"/>
  <c r="N16" i="19"/>
  <c r="K216" i="19"/>
  <c r="N216" i="19"/>
  <c r="K166" i="19"/>
  <c r="K116" i="19"/>
  <c r="N66" i="19"/>
  <c r="K66" i="19"/>
  <c r="W219" i="19"/>
  <c r="W19" i="19"/>
  <c r="T69" i="19"/>
  <c r="W69" i="19"/>
  <c r="T119" i="19"/>
  <c r="Q219" i="19"/>
  <c r="N219" i="19"/>
  <c r="W169" i="19"/>
  <c r="T219" i="19"/>
  <c r="T19" i="19"/>
  <c r="Q19" i="19"/>
  <c r="N69" i="19"/>
  <c r="Q69" i="19"/>
  <c r="N119" i="19"/>
  <c r="K69" i="19"/>
  <c r="W119" i="19"/>
  <c r="Q119" i="19"/>
  <c r="N169" i="19"/>
  <c r="N19" i="19"/>
  <c r="K219" i="19"/>
  <c r="T169" i="19"/>
  <c r="K169" i="19"/>
  <c r="Q169" i="19"/>
  <c r="K119" i="19"/>
  <c r="W228" i="19"/>
  <c r="W28" i="19"/>
  <c r="T78" i="19"/>
  <c r="W78" i="19"/>
  <c r="T128" i="19"/>
  <c r="Q128" i="19"/>
  <c r="Q178" i="19"/>
  <c r="N228" i="19"/>
  <c r="W128" i="19"/>
  <c r="T178" i="19"/>
  <c r="Q228" i="19"/>
  <c r="Q28" i="19"/>
  <c r="N78" i="19"/>
  <c r="W178" i="19"/>
  <c r="T228" i="19"/>
  <c r="T28" i="19"/>
  <c r="Q78" i="19"/>
  <c r="N128" i="19"/>
  <c r="K78" i="19"/>
  <c r="N28" i="19"/>
  <c r="K228" i="19"/>
  <c r="N178" i="19"/>
  <c r="K178" i="19"/>
  <c r="K128" i="19"/>
  <c r="X229" i="19"/>
  <c r="X29" i="19"/>
  <c r="U79" i="19"/>
  <c r="X79" i="19"/>
  <c r="U129" i="19"/>
  <c r="R179" i="19"/>
  <c r="X129" i="19"/>
  <c r="U179" i="19"/>
  <c r="X179" i="19"/>
  <c r="U229" i="19"/>
  <c r="U29" i="19"/>
  <c r="R29" i="19"/>
  <c r="R79" i="19"/>
  <c r="O179" i="19"/>
  <c r="R129" i="19"/>
  <c r="O229" i="19"/>
  <c r="O29" i="19"/>
  <c r="L229" i="19"/>
  <c r="O129" i="19"/>
  <c r="L179" i="19"/>
  <c r="O79" i="19"/>
  <c r="L129" i="19"/>
  <c r="R229" i="19"/>
  <c r="L79" i="19"/>
  <c r="W135" i="19"/>
  <c r="T185" i="19"/>
  <c r="W185" i="19"/>
  <c r="T235" i="19"/>
  <c r="T35" i="19"/>
  <c r="Q85" i="19"/>
  <c r="N135" i="19"/>
  <c r="W85" i="19"/>
  <c r="T135" i="19"/>
  <c r="W235" i="19"/>
  <c r="W35" i="19"/>
  <c r="T85" i="19"/>
  <c r="N185" i="19"/>
  <c r="N235" i="19"/>
  <c r="Q135" i="19"/>
  <c r="Q185" i="19"/>
  <c r="K185" i="19"/>
  <c r="Q235" i="19"/>
  <c r="K135" i="19"/>
  <c r="Q35" i="19"/>
  <c r="N85" i="19"/>
  <c r="K85" i="19"/>
  <c r="N35" i="19"/>
  <c r="K235" i="19"/>
  <c r="W139" i="19"/>
  <c r="T189" i="19"/>
  <c r="W189" i="19"/>
  <c r="T239" i="19"/>
  <c r="T39" i="19"/>
  <c r="Q239" i="19"/>
  <c r="Q89" i="19"/>
  <c r="N139" i="19"/>
  <c r="N189" i="19"/>
  <c r="W89" i="19"/>
  <c r="T139" i="19"/>
  <c r="N239" i="19"/>
  <c r="W239" i="19"/>
  <c r="W39" i="19"/>
  <c r="T89" i="19"/>
  <c r="Q139" i="19"/>
  <c r="K189" i="19"/>
  <c r="Q189" i="19"/>
  <c r="K139" i="19"/>
  <c r="K89" i="19"/>
  <c r="K39" i="19"/>
  <c r="N89" i="19"/>
  <c r="Q39" i="19"/>
  <c r="N39" i="19"/>
  <c r="K239" i="19"/>
  <c r="X242" i="19"/>
  <c r="X42" i="19"/>
  <c r="U92" i="19"/>
  <c r="X92" i="19"/>
  <c r="U142" i="19"/>
  <c r="R192" i="19"/>
  <c r="X142" i="19"/>
  <c r="U192" i="19"/>
  <c r="X192" i="19"/>
  <c r="U242" i="19"/>
  <c r="U42" i="19"/>
  <c r="R142" i="19"/>
  <c r="R42" i="19"/>
  <c r="R242" i="19"/>
  <c r="R92" i="19"/>
  <c r="O192" i="19"/>
  <c r="O242" i="19"/>
  <c r="O42" i="19"/>
  <c r="L242" i="19"/>
  <c r="O92" i="19"/>
  <c r="L192" i="19"/>
  <c r="L42" i="19"/>
  <c r="L142" i="19"/>
  <c r="O142" i="19"/>
  <c r="L92" i="19"/>
  <c r="W143" i="19"/>
  <c r="T193" i="19"/>
  <c r="W193" i="19"/>
  <c r="T243" i="19"/>
  <c r="T43" i="19"/>
  <c r="Q193" i="19"/>
  <c r="Q243" i="19"/>
  <c r="Q93" i="19"/>
  <c r="N143" i="19"/>
  <c r="W93" i="19"/>
  <c r="T143" i="19"/>
  <c r="N193" i="19"/>
  <c r="W243" i="19"/>
  <c r="W43" i="19"/>
  <c r="T93" i="19"/>
  <c r="N243" i="19"/>
  <c r="N93" i="19"/>
  <c r="K193" i="19"/>
  <c r="K43" i="19"/>
  <c r="K143" i="19"/>
  <c r="K93" i="19"/>
  <c r="Q43" i="19"/>
  <c r="Q143" i="19"/>
  <c r="N43" i="19"/>
  <c r="K243" i="19"/>
  <c r="W194" i="19"/>
  <c r="T244" i="19"/>
  <c r="T44" i="19"/>
  <c r="W244" i="19"/>
  <c r="W44" i="19"/>
  <c r="T94" i="19"/>
  <c r="Q244" i="19"/>
  <c r="W94" i="19"/>
  <c r="T144" i="19"/>
  <c r="N194" i="19"/>
  <c r="N244" i="19"/>
  <c r="Q144" i="19"/>
  <c r="Q44" i="19"/>
  <c r="N94" i="19"/>
  <c r="W144" i="19"/>
  <c r="T194" i="19"/>
  <c r="Q194" i="19"/>
  <c r="K44" i="19"/>
  <c r="K144" i="19"/>
  <c r="Q94" i="19"/>
  <c r="K94" i="19"/>
  <c r="N144" i="19"/>
  <c r="N44" i="19"/>
  <c r="K244" i="19"/>
  <c r="K194" i="19"/>
  <c r="X67" i="19"/>
  <c r="U117" i="19"/>
  <c r="X117" i="19"/>
  <c r="U167" i="19"/>
  <c r="R217" i="19"/>
  <c r="X167" i="19"/>
  <c r="U217" i="19"/>
  <c r="X217" i="19"/>
  <c r="X17" i="19"/>
  <c r="U67" i="19"/>
  <c r="R67" i="19"/>
  <c r="O117" i="19"/>
  <c r="R167" i="19"/>
  <c r="R117" i="19"/>
  <c r="O217" i="19"/>
  <c r="U17" i="19"/>
  <c r="R17" i="19"/>
  <c r="O67" i="19"/>
  <c r="L167" i="19"/>
  <c r="L117" i="19"/>
  <c r="L67" i="19"/>
  <c r="O167" i="19"/>
  <c r="O17" i="19"/>
  <c r="L217" i="19"/>
  <c r="X178" i="19"/>
  <c r="U228" i="19"/>
  <c r="U28" i="19"/>
  <c r="X228" i="19"/>
  <c r="X28" i="19"/>
  <c r="U78" i="19"/>
  <c r="R128" i="19"/>
  <c r="X78" i="19"/>
  <c r="U128" i="19"/>
  <c r="X128" i="19"/>
  <c r="U178" i="19"/>
  <c r="R178" i="19"/>
  <c r="O228" i="19"/>
  <c r="R228" i="19"/>
  <c r="R28" i="19"/>
  <c r="R78" i="19"/>
  <c r="O178" i="19"/>
  <c r="L78" i="19"/>
  <c r="O128" i="19"/>
  <c r="O28" i="19"/>
  <c r="L228" i="19"/>
  <c r="L178" i="19"/>
  <c r="O78" i="19"/>
  <c r="L128" i="19"/>
  <c r="X85" i="19"/>
  <c r="U135" i="19"/>
  <c r="X135" i="19"/>
  <c r="U185" i="19"/>
  <c r="R235" i="19"/>
  <c r="X185" i="19"/>
  <c r="U235" i="19"/>
  <c r="U35" i="19"/>
  <c r="X235" i="19"/>
  <c r="X35" i="19"/>
  <c r="U85" i="19"/>
  <c r="R85" i="19"/>
  <c r="O135" i="19"/>
  <c r="O235" i="19"/>
  <c r="R135" i="19"/>
  <c r="R185" i="19"/>
  <c r="R35" i="19"/>
  <c r="O85" i="19"/>
  <c r="O185" i="19"/>
  <c r="L185" i="19"/>
  <c r="L135" i="19"/>
  <c r="L85" i="19"/>
  <c r="O35" i="19"/>
  <c r="L235" i="19"/>
  <c r="W92" i="19"/>
  <c r="T142" i="19"/>
  <c r="W142" i="19"/>
  <c r="T192" i="19"/>
  <c r="W192" i="19"/>
  <c r="T242" i="19"/>
  <c r="T42" i="19"/>
  <c r="Q192" i="19"/>
  <c r="Q142" i="19"/>
  <c r="Q42" i="19"/>
  <c r="Q242" i="19"/>
  <c r="Q92" i="19"/>
  <c r="N142" i="19"/>
  <c r="W242" i="19"/>
  <c r="W42" i="19"/>
  <c r="T92" i="19"/>
  <c r="N192" i="19"/>
  <c r="N42" i="19"/>
  <c r="K242" i="19"/>
  <c r="K42" i="19"/>
  <c r="N242" i="19"/>
  <c r="N92" i="19"/>
  <c r="K192" i="19"/>
  <c r="K142" i="19"/>
  <c r="K92" i="19"/>
  <c r="W245" i="19"/>
  <c r="W45" i="19"/>
  <c r="T95" i="19"/>
  <c r="W95" i="19"/>
  <c r="T145" i="19"/>
  <c r="W195" i="19"/>
  <c r="T245" i="19"/>
  <c r="T45" i="19"/>
  <c r="N245" i="19"/>
  <c r="Q145" i="19"/>
  <c r="Q45" i="19"/>
  <c r="N95" i="19"/>
  <c r="Q195" i="19"/>
  <c r="W145" i="19"/>
  <c r="T195" i="19"/>
  <c r="Q95" i="19"/>
  <c r="N145" i="19"/>
  <c r="Q245" i="19"/>
  <c r="K95" i="19"/>
  <c r="N45" i="19"/>
  <c r="K245" i="19"/>
  <c r="K195" i="19"/>
  <c r="N195" i="19"/>
  <c r="K145" i="19"/>
  <c r="K45" i="19"/>
  <c r="W215" i="19"/>
  <c r="W15" i="19"/>
  <c r="T65" i="19"/>
  <c r="W65" i="19"/>
  <c r="T115" i="19"/>
  <c r="N215" i="19"/>
  <c r="W115" i="19"/>
  <c r="T165" i="19"/>
  <c r="T15" i="19"/>
  <c r="Q15" i="19"/>
  <c r="N65" i="19"/>
  <c r="Q65" i="19"/>
  <c r="N115" i="19"/>
  <c r="Q165" i="19"/>
  <c r="K65" i="19"/>
  <c r="N15" i="19"/>
  <c r="K215" i="19"/>
  <c r="W165" i="19"/>
  <c r="Q215" i="19"/>
  <c r="K165" i="19"/>
  <c r="T215" i="19"/>
  <c r="Q115" i="19"/>
  <c r="N165" i="19"/>
  <c r="K115" i="19"/>
  <c r="X216" i="19"/>
  <c r="X16" i="19"/>
  <c r="U66" i="19"/>
  <c r="X66" i="19"/>
  <c r="U116" i="19"/>
  <c r="R166" i="19"/>
  <c r="X116" i="19"/>
  <c r="U166" i="19"/>
  <c r="X166" i="19"/>
  <c r="U216" i="19"/>
  <c r="U16" i="19"/>
  <c r="R16" i="19"/>
  <c r="R66" i="19"/>
  <c r="R216" i="19"/>
  <c r="R116" i="19"/>
  <c r="O166" i="19"/>
  <c r="O216" i="19"/>
  <c r="O16" i="19"/>
  <c r="L216" i="19"/>
  <c r="L166" i="19"/>
  <c r="L116" i="19"/>
  <c r="O66" i="19"/>
  <c r="O116" i="19"/>
  <c r="L66" i="19"/>
  <c r="X169" i="19"/>
  <c r="U219" i="19"/>
  <c r="U19" i="19"/>
  <c r="X219" i="19"/>
  <c r="X19" i="19"/>
  <c r="U69" i="19"/>
  <c r="X69" i="19"/>
  <c r="U119" i="19"/>
  <c r="X119" i="19"/>
  <c r="U169" i="19"/>
  <c r="O219" i="19"/>
  <c r="R19" i="19"/>
  <c r="R69" i="19"/>
  <c r="R169" i="19"/>
  <c r="R119" i="19"/>
  <c r="O169" i="19"/>
  <c r="L69" i="19"/>
  <c r="O69" i="19"/>
  <c r="R219" i="19"/>
  <c r="O119" i="19"/>
  <c r="O19" i="19"/>
  <c r="L219" i="19"/>
  <c r="L169" i="19"/>
  <c r="L119" i="19"/>
  <c r="W172" i="19"/>
  <c r="T222" i="19"/>
  <c r="T22" i="19"/>
  <c r="W222" i="19"/>
  <c r="W22" i="19"/>
  <c r="T72" i="19"/>
  <c r="W72" i="19"/>
  <c r="T122" i="19"/>
  <c r="Q122" i="19"/>
  <c r="N172" i="19"/>
  <c r="Q172" i="19"/>
  <c r="Q222" i="19"/>
  <c r="N222" i="19"/>
  <c r="Q22" i="19"/>
  <c r="W122" i="19"/>
  <c r="T172" i="19"/>
  <c r="K122" i="19"/>
  <c r="K72" i="19"/>
  <c r="N72" i="19"/>
  <c r="N22" i="19"/>
  <c r="K222" i="19"/>
  <c r="Q72" i="19"/>
  <c r="N122" i="19"/>
  <c r="K172" i="19"/>
  <c r="W84" i="19"/>
  <c r="T134" i="19"/>
  <c r="W134" i="19"/>
  <c r="T184" i="19"/>
  <c r="W184" i="19"/>
  <c r="T234" i="19"/>
  <c r="T34" i="19"/>
  <c r="Q184" i="19"/>
  <c r="Q134" i="19"/>
  <c r="Q234" i="19"/>
  <c r="Q34" i="19"/>
  <c r="Q84" i="19"/>
  <c r="N134" i="19"/>
  <c r="W234" i="19"/>
  <c r="W34" i="19"/>
  <c r="T84" i="19"/>
  <c r="N184" i="19"/>
  <c r="N234" i="19"/>
  <c r="N34" i="19"/>
  <c r="K234" i="19"/>
  <c r="K184" i="19"/>
  <c r="K134" i="19"/>
  <c r="N84" i="19"/>
  <c r="K84" i="19"/>
  <c r="X89" i="19"/>
  <c r="U139" i="19"/>
  <c r="X139" i="19"/>
  <c r="U189" i="19"/>
  <c r="R239" i="19"/>
  <c r="X189" i="19"/>
  <c r="U239" i="19"/>
  <c r="U39" i="19"/>
  <c r="X239" i="19"/>
  <c r="X39" i="19"/>
  <c r="U89" i="19"/>
  <c r="R89" i="19"/>
  <c r="O139" i="19"/>
  <c r="O239" i="19"/>
  <c r="R139" i="19"/>
  <c r="R189" i="19"/>
  <c r="R39" i="19"/>
  <c r="O89" i="19"/>
  <c r="L189" i="19"/>
  <c r="O189" i="19"/>
  <c r="L139" i="19"/>
  <c r="L89" i="19"/>
  <c r="O39" i="19"/>
  <c r="L239" i="19"/>
  <c r="L39" i="19"/>
  <c r="X191" i="19"/>
  <c r="U241" i="19"/>
  <c r="U41" i="19"/>
  <c r="X241" i="19"/>
  <c r="X41" i="19"/>
  <c r="U91" i="19"/>
  <c r="R141" i="19"/>
  <c r="X91" i="19"/>
  <c r="U141" i="19"/>
  <c r="X141" i="19"/>
  <c r="U191" i="19"/>
  <c r="O241" i="19"/>
  <c r="R191" i="19"/>
  <c r="R41" i="19"/>
  <c r="R241" i="19"/>
  <c r="R91" i="19"/>
  <c r="O141" i="19"/>
  <c r="O191" i="19"/>
  <c r="L91" i="19"/>
  <c r="O41" i="19"/>
  <c r="L241" i="19"/>
  <c r="O91" i="19"/>
  <c r="L191" i="19"/>
  <c r="L41" i="19"/>
  <c r="L141" i="19"/>
  <c r="W70" i="19"/>
  <c r="T120" i="19"/>
  <c r="W120" i="19"/>
  <c r="T170" i="19"/>
  <c r="Q20" i="19"/>
  <c r="W170" i="19"/>
  <c r="T220" i="19"/>
  <c r="T20" i="19"/>
  <c r="Q70" i="19"/>
  <c r="N120" i="19"/>
  <c r="Q170" i="19"/>
  <c r="Q120" i="19"/>
  <c r="N170" i="19"/>
  <c r="W220" i="19"/>
  <c r="W20" i="19"/>
  <c r="T70" i="19"/>
  <c r="Q220" i="19"/>
  <c r="N70" i="19"/>
  <c r="N20" i="19"/>
  <c r="K220" i="19"/>
  <c r="K170" i="19"/>
  <c r="K120" i="19"/>
  <c r="N220" i="19"/>
  <c r="K70" i="19"/>
  <c r="X122" i="19"/>
  <c r="U172" i="19"/>
  <c r="X172" i="19"/>
  <c r="U222" i="19"/>
  <c r="U22" i="19"/>
  <c r="X222" i="19"/>
  <c r="X22" i="19"/>
  <c r="U72" i="19"/>
  <c r="X72" i="19"/>
  <c r="U122" i="19"/>
  <c r="R122" i="19"/>
  <c r="O172" i="19"/>
  <c r="R172" i="19"/>
  <c r="R222" i="19"/>
  <c r="O222" i="19"/>
  <c r="R22" i="19"/>
  <c r="R72" i="19"/>
  <c r="O122" i="19"/>
  <c r="L122" i="19"/>
  <c r="L72" i="19"/>
  <c r="O72" i="19"/>
  <c r="O22" i="19"/>
  <c r="L222" i="19"/>
  <c r="L172" i="19"/>
  <c r="W79" i="19"/>
  <c r="T129" i="19"/>
  <c r="W129" i="19"/>
  <c r="T179" i="19"/>
  <c r="W229" i="19"/>
  <c r="W29" i="19"/>
  <c r="T79" i="19"/>
  <c r="Q229" i="19"/>
  <c r="Q29" i="19"/>
  <c r="Q79" i="19"/>
  <c r="N129" i="19"/>
  <c r="W179" i="19"/>
  <c r="T229" i="19"/>
  <c r="T29" i="19"/>
  <c r="N179" i="19"/>
  <c r="N29" i="19"/>
  <c r="K229" i="19"/>
  <c r="Q179" i="19"/>
  <c r="N229" i="19"/>
  <c r="K179" i="19"/>
  <c r="N79" i="19"/>
  <c r="K129" i="19"/>
  <c r="Q129" i="19"/>
  <c r="K79" i="19"/>
  <c r="W241" i="19"/>
  <c r="W41" i="19"/>
  <c r="T91" i="19"/>
  <c r="W91" i="19"/>
  <c r="T141" i="19"/>
  <c r="N241" i="19"/>
  <c r="W191" i="19"/>
  <c r="T241" i="19"/>
  <c r="T41" i="19"/>
  <c r="Q141" i="19"/>
  <c r="Q191" i="19"/>
  <c r="Q41" i="19"/>
  <c r="N91" i="19"/>
  <c r="Q241" i="19"/>
  <c r="Q91" i="19"/>
  <c r="N141" i="19"/>
  <c r="W141" i="19"/>
  <c r="N191" i="19"/>
  <c r="K91" i="19"/>
  <c r="T191" i="19"/>
  <c r="N41" i="19"/>
  <c r="K241" i="19"/>
  <c r="K41" i="19"/>
  <c r="K191" i="19"/>
  <c r="K141" i="19"/>
  <c r="X144" i="19"/>
  <c r="U194" i="19"/>
  <c r="X194" i="19"/>
  <c r="U244" i="19"/>
  <c r="U44" i="19"/>
  <c r="X244" i="19"/>
  <c r="X44" i="19"/>
  <c r="U94" i="19"/>
  <c r="X94" i="19"/>
  <c r="U144" i="19"/>
  <c r="O194" i="19"/>
  <c r="O244" i="19"/>
  <c r="R144" i="19"/>
  <c r="R44" i="19"/>
  <c r="R194" i="19"/>
  <c r="R94" i="19"/>
  <c r="O144" i="19"/>
  <c r="O94" i="19"/>
  <c r="L144" i="19"/>
  <c r="L44" i="19"/>
  <c r="L94" i="19"/>
  <c r="O44" i="19"/>
  <c r="L244" i="19"/>
  <c r="R244" i="19"/>
  <c r="L194" i="19"/>
  <c r="W164" i="19"/>
  <c r="T214" i="19"/>
  <c r="T14" i="19"/>
  <c r="W214" i="19"/>
  <c r="W14" i="19"/>
  <c r="T64" i="19"/>
  <c r="Q164" i="19"/>
  <c r="Q214" i="19"/>
  <c r="Q114" i="19"/>
  <c r="N164" i="19"/>
  <c r="W114" i="19"/>
  <c r="T164" i="19"/>
  <c r="N214" i="19"/>
  <c r="Q14" i="19"/>
  <c r="W64" i="19"/>
  <c r="T114" i="19"/>
  <c r="N114" i="19"/>
  <c r="Q64" i="19"/>
  <c r="N64" i="19"/>
  <c r="K114" i="19"/>
  <c r="K64" i="19"/>
  <c r="N14" i="19"/>
  <c r="K214" i="19"/>
  <c r="K164" i="19"/>
  <c r="X165" i="19"/>
  <c r="U215" i="19"/>
  <c r="X215" i="19"/>
  <c r="X15" i="19"/>
  <c r="U65" i="19"/>
  <c r="X65" i="19"/>
  <c r="U115" i="19"/>
  <c r="X115" i="19"/>
  <c r="U165" i="19"/>
  <c r="O215" i="19"/>
  <c r="U15" i="19"/>
  <c r="R15" i="19"/>
  <c r="R65" i="19"/>
  <c r="R165" i="19"/>
  <c r="R215" i="19"/>
  <c r="R115" i="19"/>
  <c r="O165" i="19"/>
  <c r="L65" i="19"/>
  <c r="O15" i="19"/>
  <c r="L215" i="19"/>
  <c r="L165" i="19"/>
  <c r="L115" i="19"/>
  <c r="O115" i="19"/>
  <c r="O65" i="19"/>
  <c r="W113" i="19"/>
  <c r="T163" i="19"/>
  <c r="W163" i="19"/>
  <c r="T213" i="19"/>
  <c r="Q63" i="19"/>
  <c r="Q213" i="19"/>
  <c r="Q163" i="19"/>
  <c r="W213" i="19"/>
  <c r="W13" i="19"/>
  <c r="T63" i="19"/>
  <c r="Q113" i="19"/>
  <c r="N163" i="19"/>
  <c r="T13" i="19"/>
  <c r="N213" i="19"/>
  <c r="N113" i="19"/>
  <c r="K163" i="19"/>
  <c r="W63" i="19"/>
  <c r="N63" i="19"/>
  <c r="K113" i="19"/>
  <c r="T113" i="19"/>
  <c r="K63" i="19"/>
  <c r="Q13" i="19"/>
  <c r="N13" i="19"/>
  <c r="K213" i="19"/>
  <c r="X114" i="19"/>
  <c r="U164" i="19"/>
  <c r="X164" i="19"/>
  <c r="U214" i="19"/>
  <c r="U14" i="19"/>
  <c r="X214" i="19"/>
  <c r="X14" i="19"/>
  <c r="U64" i="19"/>
  <c r="X64" i="19"/>
  <c r="U114" i="19"/>
  <c r="R214" i="19"/>
  <c r="R114" i="19"/>
  <c r="O164" i="19"/>
  <c r="O214" i="19"/>
  <c r="R14" i="19"/>
  <c r="R64" i="19"/>
  <c r="O114" i="19"/>
  <c r="O64" i="19"/>
  <c r="L114" i="19"/>
  <c r="R164" i="19"/>
  <c r="L64" i="19"/>
  <c r="O14" i="19"/>
  <c r="L214" i="19"/>
  <c r="L164" i="19"/>
  <c r="W117" i="19"/>
  <c r="T167" i="19"/>
  <c r="W167" i="19"/>
  <c r="T217" i="19"/>
  <c r="W217" i="19"/>
  <c r="W17" i="19"/>
  <c r="T67" i="19"/>
  <c r="Q67" i="19"/>
  <c r="Q217" i="19"/>
  <c r="Q167" i="19"/>
  <c r="Q117" i="19"/>
  <c r="N167" i="19"/>
  <c r="W67" i="19"/>
  <c r="T117" i="19"/>
  <c r="N217" i="19"/>
  <c r="T17" i="19"/>
  <c r="K167" i="19"/>
  <c r="K117" i="19"/>
  <c r="N67" i="19"/>
  <c r="N117" i="19"/>
  <c r="K67" i="19"/>
  <c r="Q17" i="19"/>
  <c r="N17" i="19"/>
  <c r="K217" i="19"/>
  <c r="X220" i="19"/>
  <c r="X20" i="19"/>
  <c r="U70" i="19"/>
  <c r="X70" i="19"/>
  <c r="U120" i="19"/>
  <c r="R170" i="19"/>
  <c r="X120" i="19"/>
  <c r="U170" i="19"/>
  <c r="X170" i="19"/>
  <c r="U220" i="19"/>
  <c r="U20" i="19"/>
  <c r="R20" i="19"/>
  <c r="R70" i="19"/>
  <c r="R120" i="19"/>
  <c r="O170" i="19"/>
  <c r="R220" i="19"/>
  <c r="O220" i="19"/>
  <c r="O20" i="19"/>
  <c r="L220" i="19"/>
  <c r="O120" i="19"/>
  <c r="L170" i="19"/>
  <c r="L120" i="19"/>
  <c r="L70" i="19"/>
  <c r="O70" i="19"/>
  <c r="X234" i="19"/>
  <c r="X34" i="19"/>
  <c r="U84" i="19"/>
  <c r="X84" i="19"/>
  <c r="U134" i="19"/>
  <c r="R184" i="19"/>
  <c r="X134" i="19"/>
  <c r="U184" i="19"/>
  <c r="X184" i="19"/>
  <c r="U234" i="19"/>
  <c r="U34" i="19"/>
  <c r="R234" i="19"/>
  <c r="R34" i="19"/>
  <c r="R84" i="19"/>
  <c r="O184" i="19"/>
  <c r="O234" i="19"/>
  <c r="O34" i="19"/>
  <c r="L234" i="19"/>
  <c r="L184" i="19"/>
  <c r="R134" i="19"/>
  <c r="L134" i="19"/>
  <c r="O134" i="19"/>
  <c r="O84" i="19"/>
  <c r="L84" i="19"/>
  <c r="X93" i="19"/>
  <c r="U143" i="19"/>
  <c r="X143" i="19"/>
  <c r="U193" i="19"/>
  <c r="R243" i="19"/>
  <c r="X193" i="19"/>
  <c r="U243" i="19"/>
  <c r="U43" i="19"/>
  <c r="X243" i="19"/>
  <c r="X43" i="19"/>
  <c r="U93" i="19"/>
  <c r="R93" i="19"/>
  <c r="O143" i="19"/>
  <c r="O243" i="19"/>
  <c r="R143" i="19"/>
  <c r="R43" i="19"/>
  <c r="O93" i="19"/>
  <c r="O193" i="19"/>
  <c r="L193" i="19"/>
  <c r="R193" i="19"/>
  <c r="L143" i="19"/>
  <c r="L43" i="19"/>
  <c r="L93" i="19"/>
  <c r="O43" i="19"/>
  <c r="L243"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0" i="1"/>
  <c r="AB80" i="1"/>
  <c r="AC81" i="1"/>
  <c r="AF26" i="1"/>
  <c r="AF90" i="1"/>
  <c r="AF110" i="1"/>
  <c r="AF23" i="1"/>
  <c r="AF35" i="1"/>
  <c r="AF44" i="1"/>
  <c r="AF74" i="1"/>
  <c r="AF92" i="1"/>
  <c r="AF101" i="1"/>
  <c r="AF107" i="1"/>
  <c r="AF117" i="1"/>
  <c r="AF30" i="1"/>
  <c r="AF27" i="1"/>
  <c r="AF89" i="1"/>
  <c r="AF93" i="1"/>
  <c r="AF102" i="1"/>
  <c r="AF114" i="1"/>
  <c r="AF108" i="1"/>
  <c r="AF32" i="1"/>
  <c r="AF36" i="1"/>
  <c r="AF45" i="1"/>
  <c r="AF50" i="1"/>
  <c r="AF122" i="1"/>
  <c r="AF119" i="1"/>
  <c r="AF24" i="1"/>
  <c r="AF29" i="1"/>
  <c r="AF33" i="1"/>
  <c r="AF41" i="1"/>
  <c r="AF51" i="1"/>
  <c r="AF75" i="1"/>
  <c r="AF123" i="1"/>
  <c r="AF111" i="1"/>
  <c r="AF113" i="1"/>
  <c r="AF116" i="1"/>
  <c r="AF42" i="1"/>
  <c r="AA46" i="1"/>
  <c r="AA47" i="1" s="1"/>
  <c r="AA55" i="1"/>
  <c r="AA56" i="1" s="1"/>
  <c r="AA58" i="1"/>
  <c r="AA59" i="1" s="1"/>
  <c r="AA61" i="1"/>
  <c r="AA64" i="1"/>
  <c r="AA76" i="1"/>
  <c r="AA77" i="1" s="1"/>
  <c r="AA85" i="1"/>
  <c r="AA86" i="1" s="1"/>
  <c r="AA103" i="1"/>
  <c r="AA104" i="1" s="1"/>
  <c r="AA105" i="1" l="1"/>
  <c r="AC104" i="1"/>
  <c r="AB104" i="1"/>
  <c r="AA60" i="1"/>
  <c r="AB59" i="1"/>
  <c r="AC59" i="1"/>
  <c r="AA48" i="1"/>
  <c r="AC47" i="1"/>
  <c r="AB47" i="1"/>
  <c r="AA87" i="1"/>
  <c r="AB86" i="1"/>
  <c r="AC86" i="1"/>
  <c r="AA78" i="1"/>
  <c r="AB77" i="1"/>
  <c r="AC77" i="1"/>
  <c r="AA57" i="1"/>
  <c r="AB56" i="1"/>
  <c r="AC56" i="1"/>
  <c r="AC85" i="1"/>
  <c r="AB85" i="1"/>
  <c r="AC55" i="1"/>
  <c r="AB55" i="1"/>
  <c r="AC58" i="1"/>
  <c r="AB58" i="1"/>
  <c r="AC79" i="1"/>
  <c r="AB79" i="1"/>
  <c r="AC64" i="1"/>
  <c r="AB64" i="1"/>
  <c r="AC88" i="1"/>
  <c r="AB88" i="1"/>
  <c r="AC46" i="1"/>
  <c r="AB46" i="1"/>
  <c r="AC103" i="1"/>
  <c r="AB103" i="1"/>
  <c r="AC76" i="1"/>
  <c r="AB76" i="1"/>
  <c r="AC61" i="1"/>
  <c r="AB61" i="1"/>
  <c r="AA94" i="1"/>
  <c r="AA52" i="1"/>
  <c r="AA53" i="1" s="1"/>
  <c r="AA16" i="1"/>
  <c r="AA17" i="1" s="1"/>
  <c r="W7" i="1"/>
  <c r="K7" i="1"/>
  <c r="W130" i="19" l="1"/>
  <c r="T180" i="19"/>
  <c r="W180" i="19"/>
  <c r="T230" i="19"/>
  <c r="T30" i="19"/>
  <c r="Q80" i="19"/>
  <c r="N130" i="19"/>
  <c r="N180" i="19"/>
  <c r="W80" i="19"/>
  <c r="T130" i="19"/>
  <c r="Q130" i="19"/>
  <c r="N230" i="19"/>
  <c r="Q230" i="19"/>
  <c r="Q180" i="19"/>
  <c r="K180" i="19"/>
  <c r="W230" i="19"/>
  <c r="N80" i="19"/>
  <c r="K130" i="19"/>
  <c r="W30" i="19"/>
  <c r="K80" i="19"/>
  <c r="T80" i="19"/>
  <c r="Q30" i="19"/>
  <c r="N30" i="19"/>
  <c r="K230" i="19"/>
  <c r="W125" i="19"/>
  <c r="T175" i="19"/>
  <c r="W175" i="19"/>
  <c r="T225" i="19"/>
  <c r="T25" i="19"/>
  <c r="W75" i="19"/>
  <c r="T125" i="19"/>
  <c r="Q75" i="19"/>
  <c r="N125" i="19"/>
  <c r="W225" i="19"/>
  <c r="W25" i="19"/>
  <c r="T75" i="19"/>
  <c r="N175" i="19"/>
  <c r="Q125" i="19"/>
  <c r="Q225" i="19"/>
  <c r="Q175" i="19"/>
  <c r="N225" i="19"/>
  <c r="N75" i="19"/>
  <c r="K175" i="19"/>
  <c r="Q25" i="19"/>
  <c r="K125" i="19"/>
  <c r="K75" i="19"/>
  <c r="N25" i="19"/>
  <c r="K225" i="19"/>
  <c r="W233" i="19"/>
  <c r="W33" i="19"/>
  <c r="T83" i="19"/>
  <c r="W83" i="19"/>
  <c r="T133" i="19"/>
  <c r="W183" i="19"/>
  <c r="T233" i="19"/>
  <c r="T33" i="19"/>
  <c r="Q133" i="19"/>
  <c r="N233" i="19"/>
  <c r="Q183" i="19"/>
  <c r="Q233" i="19"/>
  <c r="Q33" i="19"/>
  <c r="N83" i="19"/>
  <c r="Q83" i="19"/>
  <c r="N133" i="19"/>
  <c r="N183" i="19"/>
  <c r="K83" i="19"/>
  <c r="N33" i="19"/>
  <c r="K233" i="19"/>
  <c r="W133" i="19"/>
  <c r="K183" i="19"/>
  <c r="T183" i="19"/>
  <c r="K133" i="19"/>
  <c r="W190" i="19"/>
  <c r="T240" i="19"/>
  <c r="T40" i="19"/>
  <c r="W240" i="19"/>
  <c r="W40" i="19"/>
  <c r="T90" i="19"/>
  <c r="W140" i="19"/>
  <c r="T190" i="19"/>
  <c r="N190" i="19"/>
  <c r="W90" i="19"/>
  <c r="T140" i="19"/>
  <c r="N240" i="19"/>
  <c r="Q140" i="19"/>
  <c r="Q190" i="19"/>
  <c r="Q40" i="19"/>
  <c r="N90" i="19"/>
  <c r="K140" i="19"/>
  <c r="K90" i="19"/>
  <c r="Q90" i="19"/>
  <c r="K40" i="19"/>
  <c r="N40" i="19"/>
  <c r="K240" i="19"/>
  <c r="Q240" i="19"/>
  <c r="N140" i="19"/>
  <c r="K190" i="19"/>
  <c r="W74" i="19"/>
  <c r="T124" i="19"/>
  <c r="W124" i="19"/>
  <c r="T174" i="19"/>
  <c r="W174" i="19"/>
  <c r="T224" i="19"/>
  <c r="T24" i="19"/>
  <c r="Q24" i="19"/>
  <c r="Q74" i="19"/>
  <c r="N124" i="19"/>
  <c r="W224" i="19"/>
  <c r="W24" i="19"/>
  <c r="T74" i="19"/>
  <c r="N174" i="19"/>
  <c r="Q174" i="19"/>
  <c r="Q124" i="19"/>
  <c r="Q224" i="19"/>
  <c r="N24" i="19"/>
  <c r="K224" i="19"/>
  <c r="N74" i="19"/>
  <c r="K174" i="19"/>
  <c r="K124" i="19"/>
  <c r="N224" i="19"/>
  <c r="K74" i="19"/>
  <c r="W121" i="19"/>
  <c r="T171" i="19"/>
  <c r="W171" i="19"/>
  <c r="T221" i="19"/>
  <c r="T21" i="19"/>
  <c r="Q71" i="19"/>
  <c r="W71" i="19"/>
  <c r="T121" i="19"/>
  <c r="Q121" i="19"/>
  <c r="N171" i="19"/>
  <c r="Q221" i="19"/>
  <c r="Q171" i="19"/>
  <c r="W221" i="19"/>
  <c r="W21" i="19"/>
  <c r="T71" i="19"/>
  <c r="N221" i="19"/>
  <c r="N121" i="19"/>
  <c r="K171" i="19"/>
  <c r="Q21" i="19"/>
  <c r="K121" i="19"/>
  <c r="K71" i="19"/>
  <c r="N71" i="19"/>
  <c r="N21" i="19"/>
  <c r="K221" i="19"/>
  <c r="T226" i="19"/>
  <c r="Q76" i="19"/>
  <c r="W126" i="19"/>
  <c r="W26" i="19"/>
  <c r="Q126" i="19"/>
  <c r="Q176" i="19"/>
  <c r="N26" i="19"/>
  <c r="N76" i="19"/>
  <c r="W176" i="19"/>
  <c r="T26" i="19"/>
  <c r="N126" i="19"/>
  <c r="W226" i="19"/>
  <c r="T76" i="19"/>
  <c r="N176" i="19"/>
  <c r="T126" i="19"/>
  <c r="N226" i="19"/>
  <c r="K226" i="19"/>
  <c r="W76" i="19"/>
  <c r="T176" i="19"/>
  <c r="Q26" i="19"/>
  <c r="K176" i="19"/>
  <c r="K126" i="19"/>
  <c r="K76" i="19"/>
  <c r="Q226" i="19"/>
  <c r="K33" i="19"/>
  <c r="K21" i="19"/>
  <c r="K25" i="19"/>
  <c r="K30" i="19"/>
  <c r="K24" i="19"/>
  <c r="K27" i="19"/>
  <c r="K26" i="19"/>
  <c r="AF86" i="1"/>
  <c r="AF77" i="1"/>
  <c r="AC87" i="1"/>
  <c r="AB87" i="1"/>
  <c r="AF47" i="1"/>
  <c r="AF59" i="1"/>
  <c r="AB105" i="1"/>
  <c r="AC105" i="1"/>
  <c r="AA18" i="1"/>
  <c r="AB17" i="1"/>
  <c r="AC17" i="1"/>
  <c r="AF56" i="1"/>
  <c r="AB78" i="1"/>
  <c r="AC78" i="1"/>
  <c r="AB60" i="1"/>
  <c r="AC60" i="1"/>
  <c r="AA54" i="1"/>
  <c r="AB53" i="1"/>
  <c r="AC53" i="1"/>
  <c r="AC57" i="1"/>
  <c r="AB57" i="1"/>
  <c r="AB48" i="1"/>
  <c r="AC48" i="1"/>
  <c r="AF104" i="1"/>
  <c r="AC16" i="1"/>
  <c r="AB16" i="1"/>
  <c r="AC52" i="1"/>
  <c r="AB52" i="1"/>
  <c r="AC94" i="1"/>
  <c r="AB94" i="1"/>
  <c r="L7" i="1"/>
  <c r="AA8" i="1" s="1"/>
  <c r="AA9" i="1" s="1"/>
  <c r="AA19" i="1"/>
  <c r="AA20" i="1" s="1"/>
  <c r="B221" i="13" a="1"/>
  <c r="X75" i="19" l="1"/>
  <c r="U125" i="19"/>
  <c r="X125" i="19"/>
  <c r="U175" i="19"/>
  <c r="R225" i="19"/>
  <c r="X175" i="19"/>
  <c r="U225" i="19"/>
  <c r="U25" i="19"/>
  <c r="X225" i="19"/>
  <c r="X25" i="19"/>
  <c r="U75" i="19"/>
  <c r="R75" i="19"/>
  <c r="O125" i="19"/>
  <c r="R125" i="19"/>
  <c r="R175" i="19"/>
  <c r="O225" i="19"/>
  <c r="R25" i="19"/>
  <c r="O75" i="19"/>
  <c r="O175" i="19"/>
  <c r="L175" i="19"/>
  <c r="L125" i="19"/>
  <c r="L75" i="19"/>
  <c r="O25" i="19"/>
  <c r="L225" i="19"/>
  <c r="X224" i="19"/>
  <c r="X24" i="19"/>
  <c r="U74" i="19"/>
  <c r="X74" i="19"/>
  <c r="U124" i="19"/>
  <c r="R174" i="19"/>
  <c r="X124" i="19"/>
  <c r="U174" i="19"/>
  <c r="X174" i="19"/>
  <c r="U224" i="19"/>
  <c r="U24" i="19"/>
  <c r="R24" i="19"/>
  <c r="R74" i="19"/>
  <c r="O174" i="19"/>
  <c r="R124" i="19"/>
  <c r="R224" i="19"/>
  <c r="O224" i="19"/>
  <c r="O24" i="19"/>
  <c r="L224" i="19"/>
  <c r="O74" i="19"/>
  <c r="L174" i="19"/>
  <c r="L124" i="19"/>
  <c r="O124" i="19"/>
  <c r="L74" i="19"/>
  <c r="X80" i="19"/>
  <c r="U130" i="19"/>
  <c r="X130" i="19"/>
  <c r="U180" i="19"/>
  <c r="R230" i="19"/>
  <c r="X180" i="19"/>
  <c r="U230" i="19"/>
  <c r="U30" i="19"/>
  <c r="X230" i="19"/>
  <c r="X30" i="19"/>
  <c r="U80" i="19"/>
  <c r="R80" i="19"/>
  <c r="O130" i="19"/>
  <c r="R130" i="19"/>
  <c r="O230" i="19"/>
  <c r="R180" i="19"/>
  <c r="R30" i="19"/>
  <c r="O80" i="19"/>
  <c r="L180" i="19"/>
  <c r="L130" i="19"/>
  <c r="O180" i="19"/>
  <c r="L80" i="19"/>
  <c r="O30" i="19"/>
  <c r="L230" i="19"/>
  <c r="X183" i="19"/>
  <c r="U233" i="19"/>
  <c r="U33" i="19"/>
  <c r="X233" i="19"/>
  <c r="X33" i="19"/>
  <c r="U83" i="19"/>
  <c r="R133" i="19"/>
  <c r="X83" i="19"/>
  <c r="U133" i="19"/>
  <c r="X133" i="19"/>
  <c r="U183" i="19"/>
  <c r="O233" i="19"/>
  <c r="R183" i="19"/>
  <c r="R233" i="19"/>
  <c r="R33" i="19"/>
  <c r="R83" i="19"/>
  <c r="O183" i="19"/>
  <c r="L83" i="19"/>
  <c r="O33" i="19"/>
  <c r="L233" i="19"/>
  <c r="L183" i="19"/>
  <c r="O133" i="19"/>
  <c r="L133" i="19"/>
  <c r="O83" i="19"/>
  <c r="W186" i="19"/>
  <c r="T236" i="19"/>
  <c r="T36" i="19"/>
  <c r="W236" i="19"/>
  <c r="W36" i="19"/>
  <c r="T86" i="19"/>
  <c r="W86" i="19"/>
  <c r="T136" i="19"/>
  <c r="N186" i="19"/>
  <c r="N236" i="19"/>
  <c r="Q136" i="19"/>
  <c r="Q186" i="19"/>
  <c r="Q36" i="19"/>
  <c r="W136" i="19"/>
  <c r="T186" i="19"/>
  <c r="Q236" i="19"/>
  <c r="Q86" i="19"/>
  <c r="K136" i="19"/>
  <c r="N86" i="19"/>
  <c r="K86" i="19"/>
  <c r="N136" i="19"/>
  <c r="N36" i="19"/>
  <c r="K236" i="19"/>
  <c r="K186" i="19"/>
  <c r="W160" i="19"/>
  <c r="T210" i="19"/>
  <c r="W210" i="19"/>
  <c r="W10" i="19"/>
  <c r="T60" i="19"/>
  <c r="W60" i="19"/>
  <c r="T110" i="19"/>
  <c r="Q210" i="19"/>
  <c r="Q110" i="19"/>
  <c r="N160" i="19"/>
  <c r="T10" i="19"/>
  <c r="N210" i="19"/>
  <c r="W110" i="19"/>
  <c r="T160" i="19"/>
  <c r="Q10" i="19"/>
  <c r="K110" i="19"/>
  <c r="Q60" i="19"/>
  <c r="Q160" i="19"/>
  <c r="K60" i="19"/>
  <c r="N110" i="19"/>
  <c r="N10" i="19"/>
  <c r="K210" i="19"/>
  <c r="N60" i="19"/>
  <c r="K160" i="19"/>
  <c r="X140" i="19"/>
  <c r="U190" i="19"/>
  <c r="X190" i="19"/>
  <c r="U240" i="19"/>
  <c r="U40" i="19"/>
  <c r="X240" i="19"/>
  <c r="X40" i="19"/>
  <c r="U90" i="19"/>
  <c r="X90" i="19"/>
  <c r="U140" i="19"/>
  <c r="O190" i="19"/>
  <c r="O240" i="19"/>
  <c r="R140" i="19"/>
  <c r="R190" i="19"/>
  <c r="R40" i="19"/>
  <c r="R240" i="19"/>
  <c r="R90" i="19"/>
  <c r="O140" i="19"/>
  <c r="L140" i="19"/>
  <c r="L90" i="19"/>
  <c r="O40" i="19"/>
  <c r="L240" i="19"/>
  <c r="O90" i="19"/>
  <c r="L40" i="19"/>
  <c r="L190" i="19"/>
  <c r="X71" i="19"/>
  <c r="U121" i="19"/>
  <c r="X121" i="19"/>
  <c r="U171" i="19"/>
  <c r="R221" i="19"/>
  <c r="X171" i="19"/>
  <c r="U221" i="19"/>
  <c r="U21" i="19"/>
  <c r="X221" i="19"/>
  <c r="X21" i="19"/>
  <c r="U71" i="19"/>
  <c r="R71" i="19"/>
  <c r="O121" i="19"/>
  <c r="R121" i="19"/>
  <c r="R171" i="19"/>
  <c r="O221" i="19"/>
  <c r="R21" i="19"/>
  <c r="O71" i="19"/>
  <c r="L171" i="19"/>
  <c r="O171" i="19"/>
  <c r="L121" i="19"/>
  <c r="L71" i="19"/>
  <c r="O21" i="19"/>
  <c r="L221" i="19"/>
  <c r="W223" i="19"/>
  <c r="W23" i="19"/>
  <c r="T73" i="19"/>
  <c r="W73" i="19"/>
  <c r="T123" i="19"/>
  <c r="Q173" i="19"/>
  <c r="W173" i="19"/>
  <c r="T223" i="19"/>
  <c r="T23" i="19"/>
  <c r="Q223" i="19"/>
  <c r="N223" i="19"/>
  <c r="Q23" i="19"/>
  <c r="N73" i="19"/>
  <c r="W123" i="19"/>
  <c r="T173" i="19"/>
  <c r="Q73" i="19"/>
  <c r="N123" i="19"/>
  <c r="N173" i="19"/>
  <c r="K73" i="19"/>
  <c r="Q123" i="19"/>
  <c r="N23" i="19"/>
  <c r="K223" i="19"/>
  <c r="K173" i="19"/>
  <c r="K123" i="19"/>
  <c r="W211" i="19"/>
  <c r="W11" i="19"/>
  <c r="T61" i="19"/>
  <c r="W61" i="19"/>
  <c r="T111" i="19"/>
  <c r="W161" i="19"/>
  <c r="T211" i="19"/>
  <c r="T11" i="19"/>
  <c r="N211" i="19"/>
  <c r="Q11" i="19"/>
  <c r="N61" i="19"/>
  <c r="W111" i="19"/>
  <c r="T161" i="19"/>
  <c r="Q161" i="19"/>
  <c r="Q61" i="19"/>
  <c r="N111" i="19"/>
  <c r="Q211" i="19"/>
  <c r="N161" i="19"/>
  <c r="K61" i="19"/>
  <c r="N11" i="19"/>
  <c r="K211" i="19"/>
  <c r="K161" i="19"/>
  <c r="Q111" i="19"/>
  <c r="K111" i="19"/>
  <c r="W237" i="19"/>
  <c r="W37" i="19"/>
  <c r="T87" i="19"/>
  <c r="W87" i="19"/>
  <c r="T137" i="19"/>
  <c r="N237" i="19"/>
  <c r="Q137" i="19"/>
  <c r="Q187" i="19"/>
  <c r="Q37" i="19"/>
  <c r="N87" i="19"/>
  <c r="W137" i="19"/>
  <c r="T187" i="19"/>
  <c r="Q237" i="19"/>
  <c r="Q87" i="19"/>
  <c r="N137" i="19"/>
  <c r="W187" i="19"/>
  <c r="T237" i="19"/>
  <c r="T37" i="19"/>
  <c r="K87" i="19"/>
  <c r="N37" i="19"/>
  <c r="K237" i="19"/>
  <c r="K187" i="19"/>
  <c r="N187" i="19"/>
  <c r="K137" i="19"/>
  <c r="U177" i="19"/>
  <c r="R27" i="19"/>
  <c r="L177" i="19"/>
  <c r="U227" i="19"/>
  <c r="R77" i="19"/>
  <c r="L127" i="19"/>
  <c r="O77" i="19"/>
  <c r="X27" i="19"/>
  <c r="R127" i="19"/>
  <c r="L77" i="19"/>
  <c r="X127" i="19"/>
  <c r="U27" i="19"/>
  <c r="X77" i="19"/>
  <c r="R177" i="19"/>
  <c r="O27" i="19"/>
  <c r="R227" i="19"/>
  <c r="X177" i="19"/>
  <c r="X227" i="19"/>
  <c r="U77" i="19"/>
  <c r="O177" i="19"/>
  <c r="O127" i="19"/>
  <c r="U127" i="19"/>
  <c r="O227" i="19"/>
  <c r="L227" i="19"/>
  <c r="L21" i="19"/>
  <c r="L25" i="19"/>
  <c r="K23" i="19"/>
  <c r="K11" i="19"/>
  <c r="L27" i="19"/>
  <c r="K36" i="19"/>
  <c r="L24" i="19"/>
  <c r="L30" i="19"/>
  <c r="K10" i="19"/>
  <c r="L33" i="19"/>
  <c r="K37" i="19"/>
  <c r="AF57" i="1"/>
  <c r="AB54" i="1"/>
  <c r="AC54" i="1"/>
  <c r="AF78" i="1"/>
  <c r="AF17" i="1"/>
  <c r="AF87" i="1"/>
  <c r="AF48" i="1"/>
  <c r="AB18" i="1"/>
  <c r="AC18" i="1"/>
  <c r="AA21" i="1"/>
  <c r="AC20" i="1"/>
  <c r="AB20" i="1"/>
  <c r="AF60" i="1"/>
  <c r="AF53" i="1"/>
  <c r="AF105" i="1"/>
  <c r="AC19" i="1"/>
  <c r="AB19" i="1"/>
  <c r="AA7" i="1"/>
  <c r="B221" i="13"/>
  <c r="X173" i="19" l="1"/>
  <c r="U223" i="19"/>
  <c r="U23" i="19"/>
  <c r="X223" i="19"/>
  <c r="X23" i="19"/>
  <c r="U73" i="19"/>
  <c r="R123" i="19"/>
  <c r="X73" i="19"/>
  <c r="U123" i="19"/>
  <c r="X123" i="19"/>
  <c r="U173" i="19"/>
  <c r="R223" i="19"/>
  <c r="O223" i="19"/>
  <c r="R23" i="19"/>
  <c r="R73" i="19"/>
  <c r="O173" i="19"/>
  <c r="L73" i="19"/>
  <c r="O23" i="19"/>
  <c r="L223" i="19"/>
  <c r="O73" i="19"/>
  <c r="L173" i="19"/>
  <c r="R173" i="19"/>
  <c r="O123" i="19"/>
  <c r="L123" i="19"/>
  <c r="X161" i="19"/>
  <c r="U211" i="19"/>
  <c r="X211" i="19"/>
  <c r="X11" i="19"/>
  <c r="U61" i="19"/>
  <c r="X61" i="19"/>
  <c r="U111" i="19"/>
  <c r="X111" i="19"/>
  <c r="U161" i="19"/>
  <c r="U11" i="19"/>
  <c r="O211" i="19"/>
  <c r="R11" i="19"/>
  <c r="R161" i="19"/>
  <c r="R61" i="19"/>
  <c r="R211" i="19"/>
  <c r="R111" i="19"/>
  <c r="O161" i="19"/>
  <c r="L61" i="19"/>
  <c r="O11" i="19"/>
  <c r="L211" i="19"/>
  <c r="O111" i="19"/>
  <c r="L161" i="19"/>
  <c r="O61" i="19"/>
  <c r="L111" i="19"/>
  <c r="X110" i="19"/>
  <c r="U160" i="19"/>
  <c r="X160" i="19"/>
  <c r="U210" i="19"/>
  <c r="U10" i="19"/>
  <c r="X210" i="19"/>
  <c r="X10" i="19"/>
  <c r="U60" i="19"/>
  <c r="X60" i="19"/>
  <c r="U110" i="19"/>
  <c r="R110" i="19"/>
  <c r="O160" i="19"/>
  <c r="O210" i="19"/>
  <c r="R10" i="19"/>
  <c r="R160" i="19"/>
  <c r="R60" i="19"/>
  <c r="O110" i="19"/>
  <c r="L110" i="19"/>
  <c r="L60" i="19"/>
  <c r="O10" i="19"/>
  <c r="L210" i="19"/>
  <c r="R210" i="19"/>
  <c r="O60" i="19"/>
  <c r="L160" i="19"/>
  <c r="W62" i="19"/>
  <c r="T112" i="19"/>
  <c r="W112" i="19"/>
  <c r="T162" i="19"/>
  <c r="W162" i="19"/>
  <c r="T212" i="19"/>
  <c r="Q12" i="19"/>
  <c r="Q162" i="19"/>
  <c r="Q62" i="19"/>
  <c r="N112" i="19"/>
  <c r="W212" i="19"/>
  <c r="W12" i="19"/>
  <c r="T62" i="19"/>
  <c r="Q212" i="19"/>
  <c r="Q112" i="19"/>
  <c r="N162" i="19"/>
  <c r="T12" i="19"/>
  <c r="N12" i="19"/>
  <c r="K212" i="19"/>
  <c r="N212" i="19"/>
  <c r="K162" i="19"/>
  <c r="N62" i="19"/>
  <c r="K112" i="19"/>
  <c r="K62" i="19"/>
  <c r="L10" i="19"/>
  <c r="L23" i="19"/>
  <c r="K12" i="19"/>
  <c r="L11" i="19"/>
  <c r="N82" i="1"/>
  <c r="O82" i="1" s="1"/>
  <c r="AB21" i="1"/>
  <c r="AC21" i="1"/>
  <c r="AF18" i="1"/>
  <c r="AF54" i="1"/>
  <c r="AF20" i="1"/>
  <c r="N130" i="1"/>
  <c r="O130" i="1" s="1"/>
  <c r="N127" i="1"/>
  <c r="O127" i="1" s="1"/>
  <c r="N124" i="1"/>
  <c r="O124" i="1" s="1"/>
  <c r="N133" i="1"/>
  <c r="O133" i="1" s="1"/>
  <c r="N91" i="1"/>
  <c r="O91" i="1" s="1"/>
  <c r="N76" i="1"/>
  <c r="O76" i="1" s="1"/>
  <c r="N61" i="1"/>
  <c r="O61" i="1" s="1"/>
  <c r="N49" i="1"/>
  <c r="O49" i="1" s="1"/>
  <c r="N28" i="1"/>
  <c r="O28" i="1" s="1"/>
  <c r="N16" i="1"/>
  <c r="O16" i="1" s="1"/>
  <c r="N10" i="1"/>
  <c r="O10" i="1" s="1"/>
  <c r="N103" i="1"/>
  <c r="O103" i="1" s="1"/>
  <c r="N100" i="1"/>
  <c r="O100" i="1" s="1"/>
  <c r="N88" i="1"/>
  <c r="O88" i="1" s="1"/>
  <c r="N73" i="1"/>
  <c r="O73" i="1" s="1"/>
  <c r="N58" i="1"/>
  <c r="O58" i="1" s="1"/>
  <c r="N46" i="1"/>
  <c r="O46" i="1" s="1"/>
  <c r="N37" i="1"/>
  <c r="O37" i="1" s="1"/>
  <c r="N25" i="1"/>
  <c r="O25" i="1" s="1"/>
  <c r="N118" i="1"/>
  <c r="O118" i="1" s="1"/>
  <c r="N115" i="1"/>
  <c r="O115" i="1" s="1"/>
  <c r="N112" i="1"/>
  <c r="O112" i="1" s="1"/>
  <c r="N109" i="1"/>
  <c r="O109" i="1" s="1"/>
  <c r="N106" i="1"/>
  <c r="O106" i="1" s="1"/>
  <c r="N85" i="1"/>
  <c r="O85" i="1" s="1"/>
  <c r="N70" i="1"/>
  <c r="O70" i="1" s="1"/>
  <c r="N55" i="1"/>
  <c r="O55" i="1" s="1"/>
  <c r="N43" i="1"/>
  <c r="O43" i="1" s="1"/>
  <c r="N34" i="1"/>
  <c r="O34" i="1" s="1"/>
  <c r="N22" i="1"/>
  <c r="O22" i="1" s="1"/>
  <c r="N52" i="1"/>
  <c r="O52" i="1" s="1"/>
  <c r="N94" i="1"/>
  <c r="O94" i="1" s="1"/>
  <c r="N31" i="1"/>
  <c r="O31" i="1" s="1"/>
  <c r="N64" i="1"/>
  <c r="O64" i="1" s="1"/>
  <c r="N121" i="1"/>
  <c r="O121" i="1" s="1"/>
  <c r="N13" i="1"/>
  <c r="O13" i="1" s="1"/>
  <c r="N40" i="1"/>
  <c r="O40" i="1" s="1"/>
  <c r="N79" i="1"/>
  <c r="O79" i="1" s="1"/>
  <c r="N19" i="1"/>
  <c r="O19" i="1" s="1"/>
  <c r="AB9" i="1"/>
  <c r="AC9" i="1"/>
  <c r="AC8" i="1"/>
  <c r="AB8" i="1"/>
  <c r="H210" i="13"/>
  <c r="X212" i="19" l="1"/>
  <c r="X12" i="19"/>
  <c r="U62" i="19"/>
  <c r="X62" i="19"/>
  <c r="U112" i="19"/>
  <c r="R162" i="19"/>
  <c r="X112" i="19"/>
  <c r="U162" i="19"/>
  <c r="X162" i="19"/>
  <c r="U212" i="19"/>
  <c r="R12" i="19"/>
  <c r="R62" i="19"/>
  <c r="R212" i="19"/>
  <c r="R112" i="19"/>
  <c r="O162" i="19"/>
  <c r="U12" i="19"/>
  <c r="O212" i="19"/>
  <c r="O12" i="19"/>
  <c r="L212" i="19"/>
  <c r="O112" i="19"/>
  <c r="L162" i="19"/>
  <c r="O62" i="19"/>
  <c r="L112" i="19"/>
  <c r="L62" i="19"/>
  <c r="AZ28" i="18"/>
  <c r="AF68" i="18"/>
  <c r="AZ68" i="18"/>
  <c r="AP8" i="18"/>
  <c r="AZ8" i="18"/>
  <c r="AF48" i="18"/>
  <c r="AZ88" i="18"/>
  <c r="V28" i="18"/>
  <c r="AP48" i="18"/>
  <c r="V8" i="18"/>
  <c r="AF28" i="18"/>
  <c r="L68" i="18"/>
  <c r="AP28" i="18"/>
  <c r="V88" i="18"/>
  <c r="V68" i="18"/>
  <c r="V48" i="18"/>
  <c r="AZ48" i="18"/>
  <c r="AF88" i="18"/>
  <c r="L88" i="18"/>
  <c r="L48" i="18"/>
  <c r="AF8" i="18"/>
  <c r="AP88" i="18"/>
  <c r="L28" i="18"/>
  <c r="AP68" i="18"/>
  <c r="BD46" i="18"/>
  <c r="AJ86" i="18"/>
  <c r="BD86" i="18"/>
  <c r="AT26" i="18"/>
  <c r="BD26" i="18"/>
  <c r="AJ66" i="18"/>
  <c r="AT86" i="18"/>
  <c r="Z46" i="18"/>
  <c r="AT66" i="18"/>
  <c r="AT6" i="18"/>
  <c r="AJ6" i="18"/>
  <c r="Z26" i="18"/>
  <c r="AT46" i="18"/>
  <c r="AJ26" i="18"/>
  <c r="P26" i="18"/>
  <c r="BD66" i="18"/>
  <c r="P66" i="18"/>
  <c r="Z86" i="18"/>
  <c r="Z66" i="18"/>
  <c r="AJ46" i="18"/>
  <c r="Z6" i="18"/>
  <c r="P86" i="18"/>
  <c r="BD6" i="18"/>
  <c r="P46" i="18"/>
  <c r="AP94" i="18"/>
  <c r="AF34" i="18"/>
  <c r="AZ34" i="18"/>
  <c r="AP74" i="18"/>
  <c r="AF14" i="18"/>
  <c r="AP14" i="18"/>
  <c r="L94" i="18"/>
  <c r="AZ14" i="18"/>
  <c r="AP54" i="18"/>
  <c r="L74" i="18"/>
  <c r="AF74" i="18"/>
  <c r="V94" i="18"/>
  <c r="V54" i="18"/>
  <c r="V34" i="18"/>
  <c r="V14" i="18"/>
  <c r="L34" i="18"/>
  <c r="AP34" i="18"/>
  <c r="AF94" i="18"/>
  <c r="AF54" i="18"/>
  <c r="AZ94" i="18"/>
  <c r="AZ74" i="18"/>
  <c r="L54" i="18"/>
  <c r="AZ54" i="18"/>
  <c r="V74" i="18"/>
  <c r="BF100" i="18"/>
  <c r="AV40" i="18"/>
  <c r="AV80" i="18"/>
  <c r="BF80" i="18"/>
  <c r="AV20" i="18"/>
  <c r="AV60" i="18"/>
  <c r="AL40" i="18"/>
  <c r="AL20" i="18"/>
  <c r="BF60" i="18"/>
  <c r="AV100" i="18"/>
  <c r="AB100" i="18"/>
  <c r="AB80" i="18"/>
  <c r="BF40" i="18"/>
  <c r="BF20" i="18"/>
  <c r="AL80" i="18"/>
  <c r="R20" i="18"/>
  <c r="AB60" i="18"/>
  <c r="AB40" i="18"/>
  <c r="AB20" i="18"/>
  <c r="R100" i="18"/>
  <c r="R60" i="18"/>
  <c r="AL60" i="18"/>
  <c r="R80" i="18"/>
  <c r="AL100" i="18"/>
  <c r="R40" i="18"/>
  <c r="AV86" i="18"/>
  <c r="AL26" i="18"/>
  <c r="BF26" i="18"/>
  <c r="AV66" i="18"/>
  <c r="AL6" i="18"/>
  <c r="AV26" i="18"/>
  <c r="AL86" i="18"/>
  <c r="AL66" i="18"/>
  <c r="AL46" i="18"/>
  <c r="R86" i="18"/>
  <c r="AV6" i="18"/>
  <c r="BF66" i="18"/>
  <c r="AV46" i="18"/>
  <c r="R26" i="18"/>
  <c r="R66" i="18"/>
  <c r="BF86" i="18"/>
  <c r="AB86" i="18"/>
  <c r="AB66" i="18"/>
  <c r="AB46" i="18"/>
  <c r="AB26" i="18"/>
  <c r="AB6" i="18"/>
  <c r="BF46" i="18"/>
  <c r="BF6" i="18"/>
  <c r="R46" i="18"/>
  <c r="AV96" i="18"/>
  <c r="AL36" i="18"/>
  <c r="BF36" i="18"/>
  <c r="AV76" i="18"/>
  <c r="AL16" i="18"/>
  <c r="BF56" i="18"/>
  <c r="R96" i="18"/>
  <c r="BF96" i="18"/>
  <c r="AV16" i="18"/>
  <c r="AB96" i="18"/>
  <c r="R76" i="18"/>
  <c r="AV36" i="18"/>
  <c r="R36" i="18"/>
  <c r="BF76" i="18"/>
  <c r="AL56" i="18"/>
  <c r="AB76" i="18"/>
  <c r="AL96" i="18"/>
  <c r="AB56" i="18"/>
  <c r="AB36" i="18"/>
  <c r="AB16" i="18"/>
  <c r="BF16" i="18"/>
  <c r="AL76" i="18"/>
  <c r="R56" i="18"/>
  <c r="AV56" i="18"/>
  <c r="AZ38" i="18"/>
  <c r="AF78" i="18"/>
  <c r="AZ78" i="18"/>
  <c r="AP18" i="18"/>
  <c r="AZ18" i="18"/>
  <c r="AF58" i="18"/>
  <c r="AP38" i="18"/>
  <c r="V38" i="18"/>
  <c r="AP78" i="18"/>
  <c r="V18" i="18"/>
  <c r="AF98" i="18"/>
  <c r="AF18" i="18"/>
  <c r="V78" i="18"/>
  <c r="V58" i="18"/>
  <c r="AZ98" i="18"/>
  <c r="V98" i="18"/>
  <c r="L98" i="18"/>
  <c r="AZ58" i="18"/>
  <c r="L78" i="18"/>
  <c r="L58" i="18"/>
  <c r="AF38" i="18"/>
  <c r="AP98" i="18"/>
  <c r="AP58" i="18"/>
  <c r="L38" i="18"/>
  <c r="BD90" i="18"/>
  <c r="AT30" i="18"/>
  <c r="AT70" i="18"/>
  <c r="BD70" i="18"/>
  <c r="AT10" i="18"/>
  <c r="Z90" i="18"/>
  <c r="AT90" i="18"/>
  <c r="AJ30" i="18"/>
  <c r="AJ10" i="18"/>
  <c r="Z70" i="18"/>
  <c r="AJ90" i="18"/>
  <c r="AJ50" i="18"/>
  <c r="BD50" i="18"/>
  <c r="BD30" i="18"/>
  <c r="BD10" i="18"/>
  <c r="P70" i="18"/>
  <c r="AJ70" i="18"/>
  <c r="P50" i="18"/>
  <c r="AT50" i="18"/>
  <c r="Z50" i="18"/>
  <c r="Z30" i="18"/>
  <c r="Z10" i="18"/>
  <c r="P90" i="18"/>
  <c r="P30" i="18"/>
  <c r="AT52" i="18"/>
  <c r="AT92" i="18"/>
  <c r="BD92" i="18"/>
  <c r="AT32" i="18"/>
  <c r="BD32" i="18"/>
  <c r="AT12" i="18"/>
  <c r="BD72" i="18"/>
  <c r="BD12" i="18"/>
  <c r="AJ72" i="18"/>
  <c r="Z92" i="18"/>
  <c r="Z72" i="18"/>
  <c r="Z52" i="18"/>
  <c r="Z32" i="18"/>
  <c r="AT72" i="18"/>
  <c r="AJ32" i="18"/>
  <c r="Z12" i="18"/>
  <c r="P92" i="18"/>
  <c r="P32" i="18"/>
  <c r="AJ92" i="18"/>
  <c r="P72" i="18"/>
  <c r="AJ52" i="18"/>
  <c r="AJ12" i="18"/>
  <c r="BD52" i="18"/>
  <c r="P52" i="18"/>
  <c r="BB94" i="18"/>
  <c r="AR34" i="18"/>
  <c r="AR74" i="18"/>
  <c r="BB74" i="18"/>
  <c r="AR14" i="18"/>
  <c r="AR54" i="18"/>
  <c r="AH94" i="18"/>
  <c r="AH74" i="18"/>
  <c r="AH54" i="18"/>
  <c r="X74" i="18"/>
  <c r="AR94" i="18"/>
  <c r="AH34" i="18"/>
  <c r="N94" i="18"/>
  <c r="N74" i="18"/>
  <c r="AH14" i="18"/>
  <c r="N54" i="18"/>
  <c r="BB54" i="18"/>
  <c r="N34" i="18"/>
  <c r="BB34" i="18"/>
  <c r="X34" i="18"/>
  <c r="BB14" i="18"/>
  <c r="X94" i="18"/>
  <c r="X54" i="18"/>
  <c r="X14" i="18"/>
  <c r="BD68" i="18"/>
  <c r="AT8" i="18"/>
  <c r="AT48" i="18"/>
  <c r="BD48" i="18"/>
  <c r="AJ88" i="18"/>
  <c r="AT68" i="18"/>
  <c r="Z68" i="18"/>
  <c r="BD8" i="18"/>
  <c r="Z48" i="18"/>
  <c r="Z88" i="18"/>
  <c r="BD88" i="18"/>
  <c r="Z28" i="18"/>
  <c r="Z8" i="18"/>
  <c r="P88" i="18"/>
  <c r="P48" i="18"/>
  <c r="AJ48" i="18"/>
  <c r="BD28" i="18"/>
  <c r="AT88" i="18"/>
  <c r="AJ8" i="18"/>
  <c r="P28" i="18"/>
  <c r="AJ68" i="18"/>
  <c r="AJ28" i="18"/>
  <c r="P68" i="18"/>
  <c r="AT28" i="18"/>
  <c r="BF78" i="18"/>
  <c r="AV18" i="18"/>
  <c r="AV58" i="18"/>
  <c r="BF58" i="18"/>
  <c r="AL98" i="18"/>
  <c r="BF38" i="18"/>
  <c r="AB98" i="18"/>
  <c r="AB78" i="18"/>
  <c r="BF18" i="18"/>
  <c r="AL78" i="18"/>
  <c r="AL58" i="18"/>
  <c r="AL38" i="18"/>
  <c r="AB58" i="18"/>
  <c r="BF98" i="18"/>
  <c r="R78" i="18"/>
  <c r="R58" i="18"/>
  <c r="AV98" i="18"/>
  <c r="R38" i="18"/>
  <c r="AV78" i="18"/>
  <c r="AV38" i="18"/>
  <c r="AB38" i="18"/>
  <c r="R98" i="18"/>
  <c r="AL18" i="18"/>
  <c r="AB18" i="18"/>
  <c r="R18" i="18"/>
  <c r="AV62" i="18"/>
  <c r="AV102" i="18"/>
  <c r="BF102" i="18"/>
  <c r="AV42" i="18"/>
  <c r="AV82" i="18"/>
  <c r="AV22" i="18"/>
  <c r="AL82" i="18"/>
  <c r="AB22" i="18"/>
  <c r="R102" i="18"/>
  <c r="R82" i="18"/>
  <c r="AL62" i="18"/>
  <c r="AL22" i="18"/>
  <c r="AB102" i="18"/>
  <c r="R42" i="18"/>
  <c r="BF82" i="18"/>
  <c r="AL102" i="18"/>
  <c r="R22" i="18"/>
  <c r="BF62" i="18"/>
  <c r="BF42" i="18"/>
  <c r="AL42" i="18"/>
  <c r="AB82" i="18"/>
  <c r="AB42" i="18"/>
  <c r="R62" i="18"/>
  <c r="BF22" i="18"/>
  <c r="AB62" i="18"/>
  <c r="AR68" i="18"/>
  <c r="BB8" i="18"/>
  <c r="AR48" i="18"/>
  <c r="BB28" i="18"/>
  <c r="AH8" i="18"/>
  <c r="BB68" i="18"/>
  <c r="AR28" i="18"/>
  <c r="AR8" i="18"/>
  <c r="X88" i="18"/>
  <c r="X68" i="18"/>
  <c r="X48" i="18"/>
  <c r="BB88" i="18"/>
  <c r="BB48" i="18"/>
  <c r="AH88" i="18"/>
  <c r="X28" i="18"/>
  <c r="X8" i="18"/>
  <c r="N88" i="18"/>
  <c r="N48" i="18"/>
  <c r="AH48" i="18"/>
  <c r="AR88" i="18"/>
  <c r="N28" i="18"/>
  <c r="N68" i="18"/>
  <c r="AH28" i="18"/>
  <c r="AH68" i="18"/>
  <c r="AN50" i="18"/>
  <c r="AN90" i="18"/>
  <c r="AX90" i="18"/>
  <c r="AN30" i="18"/>
  <c r="AX70" i="18"/>
  <c r="AX50" i="18"/>
  <c r="AD90" i="18"/>
  <c r="AD70" i="18"/>
  <c r="T90" i="18"/>
  <c r="AN10" i="18"/>
  <c r="T10" i="18"/>
  <c r="J90" i="18"/>
  <c r="AD50" i="18"/>
  <c r="AX30" i="18"/>
  <c r="AD10" i="18"/>
  <c r="J30" i="18"/>
  <c r="AX10" i="18"/>
  <c r="J70" i="18"/>
  <c r="AN70" i="18"/>
  <c r="AD30" i="18"/>
  <c r="T50" i="18"/>
  <c r="T70" i="18"/>
  <c r="T30" i="18"/>
  <c r="J50" i="18"/>
  <c r="AX98" i="18"/>
  <c r="AN38" i="18"/>
  <c r="AN78" i="18"/>
  <c r="AX78" i="18"/>
  <c r="AN18" i="18"/>
  <c r="AN98" i="18"/>
  <c r="AX38" i="18"/>
  <c r="T78" i="18"/>
  <c r="AD58" i="18"/>
  <c r="AD98" i="18"/>
  <c r="AD18" i="18"/>
  <c r="T58" i="18"/>
  <c r="T38" i="18"/>
  <c r="T18" i="18"/>
  <c r="T98" i="18"/>
  <c r="J98" i="18"/>
  <c r="AX58" i="18"/>
  <c r="AX18" i="18"/>
  <c r="AD78" i="18"/>
  <c r="J78" i="18"/>
  <c r="J58" i="18"/>
  <c r="AD38" i="18"/>
  <c r="AN58" i="18"/>
  <c r="J38" i="18"/>
  <c r="AR56" i="18"/>
  <c r="AR96" i="18"/>
  <c r="BB96" i="18"/>
  <c r="AR36" i="18"/>
  <c r="AH96" i="18"/>
  <c r="AH56" i="18"/>
  <c r="AH36" i="18"/>
  <c r="AH16" i="18"/>
  <c r="BB36" i="18"/>
  <c r="AR16" i="18"/>
  <c r="N36" i="18"/>
  <c r="BB76" i="18"/>
  <c r="X76" i="18"/>
  <c r="X56" i="18"/>
  <c r="X36" i="18"/>
  <c r="BB56" i="18"/>
  <c r="X96" i="18"/>
  <c r="X16" i="18"/>
  <c r="N96" i="18"/>
  <c r="BB16" i="18"/>
  <c r="AR76" i="18"/>
  <c r="AH76" i="18"/>
  <c r="N76" i="18"/>
  <c r="N56" i="18"/>
  <c r="AR90" i="18"/>
  <c r="AH30" i="18"/>
  <c r="BB30" i="18"/>
  <c r="AR70" i="18"/>
  <c r="AH10" i="18"/>
  <c r="AR50" i="18"/>
  <c r="N90" i="18"/>
  <c r="BB50" i="18"/>
  <c r="AH90" i="18"/>
  <c r="AH70" i="18"/>
  <c r="AH50" i="18"/>
  <c r="AR30" i="18"/>
  <c r="N70" i="18"/>
  <c r="BB70" i="18"/>
  <c r="N30" i="18"/>
  <c r="BB10" i="18"/>
  <c r="X90" i="18"/>
  <c r="X70" i="18"/>
  <c r="N50" i="18"/>
  <c r="AR10" i="18"/>
  <c r="X50" i="18"/>
  <c r="X30" i="18"/>
  <c r="X10" i="18"/>
  <c r="BB90" i="18"/>
  <c r="AZ6" i="18"/>
  <c r="AF46" i="18"/>
  <c r="AZ46" i="18"/>
  <c r="AP86" i="18"/>
  <c r="AF26" i="18"/>
  <c r="V6" i="18"/>
  <c r="AZ86" i="18"/>
  <c r="AF86" i="18"/>
  <c r="AF66" i="18"/>
  <c r="AZ26" i="18"/>
  <c r="L86" i="18"/>
  <c r="AP66" i="18"/>
  <c r="AF6" i="18"/>
  <c r="L46" i="18"/>
  <c r="AP46" i="18"/>
  <c r="AP26" i="18"/>
  <c r="AP6" i="18"/>
  <c r="L26" i="18"/>
  <c r="AZ66" i="18"/>
  <c r="V86" i="18"/>
  <c r="L66" i="18"/>
  <c r="V66" i="18"/>
  <c r="V46" i="18"/>
  <c r="V26" i="18"/>
  <c r="AP82" i="18"/>
  <c r="AF22" i="18"/>
  <c r="AZ22" i="18"/>
  <c r="AP62" i="18"/>
  <c r="V102" i="18"/>
  <c r="AZ62" i="18"/>
  <c r="AP42" i="18"/>
  <c r="AZ102" i="18"/>
  <c r="AF82" i="18"/>
  <c r="AF42" i="18"/>
  <c r="L22" i="18"/>
  <c r="AP102" i="18"/>
  <c r="V82" i="18"/>
  <c r="V62" i="18"/>
  <c r="V42" i="18"/>
  <c r="V22" i="18"/>
  <c r="L102" i="18"/>
  <c r="L62" i="18"/>
  <c r="L82" i="18"/>
  <c r="AP22" i="18"/>
  <c r="AF62" i="18"/>
  <c r="AF102" i="18"/>
  <c r="L42" i="18"/>
  <c r="AZ82" i="18"/>
  <c r="AZ42" i="18"/>
  <c r="BB12" i="18"/>
  <c r="AH52" i="18"/>
  <c r="BB52" i="18"/>
  <c r="AR92" i="18"/>
  <c r="AH32" i="18"/>
  <c r="BB92" i="18"/>
  <c r="X12" i="18"/>
  <c r="AR72" i="18"/>
  <c r="AR12" i="18"/>
  <c r="N92" i="18"/>
  <c r="BB32" i="18"/>
  <c r="N52" i="18"/>
  <c r="AH72" i="18"/>
  <c r="X92" i="18"/>
  <c r="X72" i="18"/>
  <c r="X52" i="18"/>
  <c r="X32" i="18"/>
  <c r="AR52" i="18"/>
  <c r="N32" i="18"/>
  <c r="AR32" i="18"/>
  <c r="BB72" i="18"/>
  <c r="AH92" i="18"/>
  <c r="N72" i="18"/>
  <c r="AH12" i="18"/>
  <c r="AN72" i="18"/>
  <c r="AX12" i="18"/>
  <c r="AN52" i="18"/>
  <c r="T92" i="18"/>
  <c r="AN92" i="18"/>
  <c r="AD72" i="18"/>
  <c r="AD52" i="18"/>
  <c r="AD32" i="18"/>
  <c r="AX92" i="18"/>
  <c r="AX32" i="18"/>
  <c r="AX52" i="18"/>
  <c r="AD12" i="18"/>
  <c r="J72" i="18"/>
  <c r="J52" i="18"/>
  <c r="T72" i="18"/>
  <c r="T52" i="18"/>
  <c r="T32" i="18"/>
  <c r="T12" i="18"/>
  <c r="J92" i="18"/>
  <c r="AN32" i="18"/>
  <c r="AN12" i="18"/>
  <c r="J32" i="18"/>
  <c r="AD92" i="18"/>
  <c r="AX72" i="18"/>
  <c r="AX88" i="18"/>
  <c r="AN28" i="18"/>
  <c r="AN68" i="18"/>
  <c r="AX68" i="18"/>
  <c r="AN8" i="18"/>
  <c r="AD28" i="18"/>
  <c r="T88" i="18"/>
  <c r="AX8" i="18"/>
  <c r="T68" i="18"/>
  <c r="AD68" i="18"/>
  <c r="J68" i="18"/>
  <c r="T48" i="18"/>
  <c r="T28" i="18"/>
  <c r="T8" i="18"/>
  <c r="AX48" i="18"/>
  <c r="AD88" i="18"/>
  <c r="AD48" i="18"/>
  <c r="J88" i="18"/>
  <c r="J48" i="18"/>
  <c r="AX28" i="18"/>
  <c r="AD8" i="18"/>
  <c r="AN88" i="18"/>
  <c r="AN48" i="18"/>
  <c r="J28" i="18"/>
  <c r="BB82" i="18"/>
  <c r="AR22" i="18"/>
  <c r="AR62" i="18"/>
  <c r="BB62" i="18"/>
  <c r="AH102" i="18"/>
  <c r="AR102" i="18"/>
  <c r="X82" i="18"/>
  <c r="BB102" i="18"/>
  <c r="BB42" i="18"/>
  <c r="X62" i="18"/>
  <c r="BB22" i="18"/>
  <c r="AR82" i="18"/>
  <c r="X42" i="18"/>
  <c r="X22" i="18"/>
  <c r="N102" i="18"/>
  <c r="N62" i="18"/>
  <c r="N82" i="18"/>
  <c r="AR42" i="18"/>
  <c r="AH62" i="18"/>
  <c r="X102" i="18"/>
  <c r="AH22" i="18"/>
  <c r="N42" i="18"/>
  <c r="AH42" i="18"/>
  <c r="AH82" i="18"/>
  <c r="N22" i="18"/>
  <c r="AZ16" i="18"/>
  <c r="AF56" i="18"/>
  <c r="AZ56" i="18"/>
  <c r="AF96" i="18"/>
  <c r="AP96" i="18"/>
  <c r="AF36" i="18"/>
  <c r="AP56" i="18"/>
  <c r="AF76" i="18"/>
  <c r="V16" i="18"/>
  <c r="AP36" i="18"/>
  <c r="AZ96" i="18"/>
  <c r="L96" i="18"/>
  <c r="L56" i="18"/>
  <c r="AP16" i="18"/>
  <c r="AF16" i="18"/>
  <c r="L36" i="18"/>
  <c r="AZ76" i="18"/>
  <c r="AZ36" i="18"/>
  <c r="V76" i="18"/>
  <c r="V56" i="18"/>
  <c r="V36" i="18"/>
  <c r="V96" i="18"/>
  <c r="AP76" i="18"/>
  <c r="L76" i="18"/>
  <c r="AX20" i="18"/>
  <c r="AD60" i="18"/>
  <c r="AX60" i="18"/>
  <c r="AD100" i="18"/>
  <c r="AN100" i="18"/>
  <c r="AD40" i="18"/>
  <c r="AN80" i="18"/>
  <c r="T20" i="18"/>
  <c r="AX80" i="18"/>
  <c r="AD80" i="18"/>
  <c r="AN60" i="18"/>
  <c r="AD20" i="18"/>
  <c r="J100" i="18"/>
  <c r="T100" i="18"/>
  <c r="J80" i="18"/>
  <c r="J60" i="18"/>
  <c r="AX40" i="18"/>
  <c r="J40" i="18"/>
  <c r="AN40" i="18"/>
  <c r="T80" i="18"/>
  <c r="T60" i="18"/>
  <c r="T40" i="18"/>
  <c r="J20" i="18"/>
  <c r="AX100" i="18"/>
  <c r="AN20" i="18"/>
  <c r="BF52" i="18"/>
  <c r="AL92" i="18"/>
  <c r="BF92" i="18"/>
  <c r="AV32" i="18"/>
  <c r="BF32" i="18"/>
  <c r="AL72" i="18"/>
  <c r="AV72" i="18"/>
  <c r="AB52" i="18"/>
  <c r="BF72" i="18"/>
  <c r="BF12" i="18"/>
  <c r="AB92" i="18"/>
  <c r="AB32" i="18"/>
  <c r="AB72" i="18"/>
  <c r="AV92" i="18"/>
  <c r="AL32" i="18"/>
  <c r="AB12" i="18"/>
  <c r="R92" i="18"/>
  <c r="R32" i="18"/>
  <c r="AV52" i="18"/>
  <c r="AV12" i="18"/>
  <c r="R72" i="18"/>
  <c r="AL52" i="18"/>
  <c r="AL12" i="18"/>
  <c r="R52" i="18"/>
  <c r="BF8" i="18"/>
  <c r="AL48" i="18"/>
  <c r="BF48" i="18"/>
  <c r="AV88" i="18"/>
  <c r="AL28" i="18"/>
  <c r="AV8" i="18"/>
  <c r="AB8" i="18"/>
  <c r="AV48" i="18"/>
  <c r="R88" i="18"/>
  <c r="BF88" i="18"/>
  <c r="AB68" i="18"/>
  <c r="AB48" i="18"/>
  <c r="AB28" i="18"/>
  <c r="R48" i="18"/>
  <c r="AL88" i="18"/>
  <c r="BF68" i="18"/>
  <c r="BF28" i="18"/>
  <c r="AL8" i="18"/>
  <c r="R28" i="18"/>
  <c r="AL68" i="18"/>
  <c r="R68" i="18"/>
  <c r="AV68" i="18"/>
  <c r="AV28" i="18"/>
  <c r="AB88" i="18"/>
  <c r="BD22" i="18"/>
  <c r="AJ62" i="18"/>
  <c r="BD62" i="18"/>
  <c r="AJ102" i="18"/>
  <c r="AT102" i="18"/>
  <c r="AJ42" i="18"/>
  <c r="AT42" i="18"/>
  <c r="Z102" i="18"/>
  <c r="Z22" i="18"/>
  <c r="BD42" i="18"/>
  <c r="AT82" i="18"/>
  <c r="P102" i="18"/>
  <c r="Z82" i="18"/>
  <c r="Z62" i="18"/>
  <c r="Z42" i="18"/>
  <c r="P62" i="18"/>
  <c r="P82" i="18"/>
  <c r="AT62" i="18"/>
  <c r="AT22" i="18"/>
  <c r="AJ22" i="18"/>
  <c r="P42" i="18"/>
  <c r="BD102" i="18"/>
  <c r="BD82" i="18"/>
  <c r="AJ82" i="18"/>
  <c r="P22" i="18"/>
  <c r="AP60" i="18"/>
  <c r="AP100" i="18"/>
  <c r="AZ100" i="18"/>
  <c r="AP40" i="18"/>
  <c r="AP20" i="18"/>
  <c r="AZ20" i="18"/>
  <c r="AF60" i="18"/>
  <c r="AF40" i="18"/>
  <c r="AF20" i="18"/>
  <c r="AF100" i="18"/>
  <c r="AZ80" i="18"/>
  <c r="AZ60" i="18"/>
  <c r="AZ40" i="18"/>
  <c r="AF80" i="18"/>
  <c r="L40" i="18"/>
  <c r="AP80" i="18"/>
  <c r="V80" i="18"/>
  <c r="V60" i="18"/>
  <c r="V40" i="18"/>
  <c r="L20" i="18"/>
  <c r="V20" i="18"/>
  <c r="L100" i="18"/>
  <c r="L60" i="18"/>
  <c r="V100" i="18"/>
  <c r="L80" i="18"/>
  <c r="BD34" i="18"/>
  <c r="AJ74" i="18"/>
  <c r="BD74" i="18"/>
  <c r="AT14" i="18"/>
  <c r="BD14" i="18"/>
  <c r="AJ54" i="18"/>
  <c r="Z94" i="18"/>
  <c r="Z34" i="18"/>
  <c r="AJ94" i="18"/>
  <c r="BD54" i="18"/>
  <c r="AJ34" i="18"/>
  <c r="AJ14" i="18"/>
  <c r="Z14" i="18"/>
  <c r="AT74" i="18"/>
  <c r="AT54" i="18"/>
  <c r="AT34" i="18"/>
  <c r="P74" i="18"/>
  <c r="P54" i="18"/>
  <c r="BD94" i="18"/>
  <c r="Z74" i="18"/>
  <c r="Z54" i="18"/>
  <c r="P34" i="18"/>
  <c r="P94" i="18"/>
  <c r="AT94" i="18"/>
  <c r="AZ72" i="18"/>
  <c r="AP12" i="18"/>
  <c r="AP52" i="18"/>
  <c r="AZ52" i="18"/>
  <c r="AF92" i="18"/>
  <c r="AP32" i="18"/>
  <c r="AF12" i="18"/>
  <c r="V72" i="18"/>
  <c r="AZ32" i="18"/>
  <c r="AP72" i="18"/>
  <c r="V52" i="18"/>
  <c r="AZ12" i="18"/>
  <c r="L52" i="18"/>
  <c r="AP92" i="18"/>
  <c r="AF72" i="18"/>
  <c r="AF32" i="18"/>
  <c r="V92" i="18"/>
  <c r="V32" i="18"/>
  <c r="V12" i="18"/>
  <c r="L92" i="18"/>
  <c r="L32" i="18"/>
  <c r="AZ92" i="18"/>
  <c r="L72" i="18"/>
  <c r="AF52" i="18"/>
  <c r="BB60" i="18"/>
  <c r="AH100" i="18"/>
  <c r="BB100" i="18"/>
  <c r="AR40" i="18"/>
  <c r="BB40" i="18"/>
  <c r="AH80" i="18"/>
  <c r="BB80" i="18"/>
  <c r="X60" i="18"/>
  <c r="AR60" i="18"/>
  <c r="X40" i="18"/>
  <c r="N40" i="18"/>
  <c r="BB20" i="18"/>
  <c r="AR100" i="18"/>
  <c r="AH40" i="18"/>
  <c r="AR80" i="18"/>
  <c r="X80" i="18"/>
  <c r="N20" i="18"/>
  <c r="X20" i="18"/>
  <c r="N100" i="18"/>
  <c r="AR20" i="18"/>
  <c r="AH60" i="18"/>
  <c r="AH20" i="18"/>
  <c r="X100" i="18"/>
  <c r="N80" i="18"/>
  <c r="N60" i="18"/>
  <c r="BD56" i="18"/>
  <c r="AJ96" i="18"/>
  <c r="BD96" i="18"/>
  <c r="AT36" i="18"/>
  <c r="BD36" i="18"/>
  <c r="AJ76" i="18"/>
  <c r="Z56" i="18"/>
  <c r="AT76" i="18"/>
  <c r="Z36" i="18"/>
  <c r="AT56" i="18"/>
  <c r="AT16" i="18"/>
  <c r="P36" i="18"/>
  <c r="BD76" i="18"/>
  <c r="AJ56" i="18"/>
  <c r="AJ16" i="18"/>
  <c r="Z76" i="18"/>
  <c r="Z96" i="18"/>
  <c r="Z16" i="18"/>
  <c r="P96" i="18"/>
  <c r="BD16" i="18"/>
  <c r="P76" i="18"/>
  <c r="AT96" i="18"/>
  <c r="AJ36" i="18"/>
  <c r="P56" i="18"/>
  <c r="AN94" i="18"/>
  <c r="T14" i="18"/>
  <c r="T74" i="18"/>
  <c r="AD54" i="18"/>
  <c r="AD74" i="18"/>
  <c r="AX74" i="18"/>
  <c r="T34" i="18"/>
  <c r="AD94" i="18"/>
  <c r="AN74" i="18"/>
  <c r="AD34" i="18"/>
  <c r="AN54" i="18"/>
  <c r="AX14" i="18"/>
  <c r="J94" i="18"/>
  <c r="AD14" i="18"/>
  <c r="J74" i="18"/>
  <c r="AN14" i="18"/>
  <c r="AX94" i="18"/>
  <c r="J54" i="18"/>
  <c r="J34" i="18"/>
  <c r="AN34" i="18"/>
  <c r="AX54" i="18"/>
  <c r="T54" i="18"/>
  <c r="AX34" i="18"/>
  <c r="T94" i="18"/>
  <c r="AX76" i="18"/>
  <c r="AN16" i="18"/>
  <c r="AN56" i="18"/>
  <c r="AX56" i="18"/>
  <c r="AD96" i="18"/>
  <c r="AX16" i="18"/>
  <c r="T76" i="18"/>
  <c r="AN96" i="18"/>
  <c r="AD16" i="18"/>
  <c r="AN36" i="18"/>
  <c r="T56" i="18"/>
  <c r="AN76" i="18"/>
  <c r="J76" i="18"/>
  <c r="J56" i="18"/>
  <c r="AX96" i="18"/>
  <c r="AD56" i="18"/>
  <c r="J36" i="18"/>
  <c r="AX36" i="18"/>
  <c r="T36" i="18"/>
  <c r="T16" i="18"/>
  <c r="J96" i="18"/>
  <c r="T96" i="18"/>
  <c r="AD36" i="18"/>
  <c r="AD76" i="18"/>
  <c r="AR46" i="18"/>
  <c r="AR86" i="18"/>
  <c r="BB86" i="18"/>
  <c r="AR26" i="18"/>
  <c r="BB46" i="18"/>
  <c r="BB26" i="18"/>
  <c r="AH46" i="18"/>
  <c r="AH26" i="18"/>
  <c r="AR66" i="18"/>
  <c r="X86" i="18"/>
  <c r="AH66" i="18"/>
  <c r="AR6" i="18"/>
  <c r="N26" i="18"/>
  <c r="BB66" i="18"/>
  <c r="N66" i="18"/>
  <c r="AH86" i="18"/>
  <c r="X66" i="18"/>
  <c r="X46" i="18"/>
  <c r="X26" i="18"/>
  <c r="X6" i="18"/>
  <c r="N86" i="18"/>
  <c r="AH6" i="18"/>
  <c r="BB6" i="18"/>
  <c r="N46" i="18"/>
  <c r="AZ50" i="18"/>
  <c r="AF90" i="18"/>
  <c r="AZ90" i="18"/>
  <c r="AP30" i="18"/>
  <c r="AZ30" i="18"/>
  <c r="AF70" i="18"/>
  <c r="AZ10" i="18"/>
  <c r="V50" i="18"/>
  <c r="AP90" i="18"/>
  <c r="AF50" i="18"/>
  <c r="AF30" i="18"/>
  <c r="V30" i="18"/>
  <c r="AZ70" i="18"/>
  <c r="AF10" i="18"/>
  <c r="L30" i="18"/>
  <c r="L70" i="18"/>
  <c r="AP70" i="18"/>
  <c r="AP50" i="18"/>
  <c r="V90" i="18"/>
  <c r="V70" i="18"/>
  <c r="L50" i="18"/>
  <c r="AP10" i="18"/>
  <c r="V10" i="18"/>
  <c r="L90" i="18"/>
  <c r="AX42" i="18"/>
  <c r="AD82" i="18"/>
  <c r="AX82" i="18"/>
  <c r="AN22" i="18"/>
  <c r="AX22" i="18"/>
  <c r="AD62" i="18"/>
  <c r="AD102" i="18"/>
  <c r="T42" i="18"/>
  <c r="AN102" i="18"/>
  <c r="AN42" i="18"/>
  <c r="T22" i="18"/>
  <c r="AD42" i="18"/>
  <c r="J22" i="18"/>
  <c r="AN82" i="18"/>
  <c r="T82" i="18"/>
  <c r="T62" i="18"/>
  <c r="AN62" i="18"/>
  <c r="J102" i="18"/>
  <c r="J62" i="18"/>
  <c r="T102" i="18"/>
  <c r="J82" i="18"/>
  <c r="AX102" i="18"/>
  <c r="AD22" i="18"/>
  <c r="J42" i="18"/>
  <c r="AX62" i="18"/>
  <c r="BF30" i="18"/>
  <c r="AL70" i="18"/>
  <c r="BF70" i="18"/>
  <c r="AV10" i="18"/>
  <c r="BF10" i="18"/>
  <c r="AL50" i="18"/>
  <c r="BF50" i="18"/>
  <c r="AL90" i="18"/>
  <c r="AB30" i="18"/>
  <c r="AV30" i="18"/>
  <c r="AL10" i="18"/>
  <c r="BF90" i="18"/>
  <c r="AB10" i="18"/>
  <c r="R70" i="18"/>
  <c r="AV90" i="18"/>
  <c r="AV70" i="18"/>
  <c r="R50" i="18"/>
  <c r="AV50" i="18"/>
  <c r="AL30" i="18"/>
  <c r="AB90" i="18"/>
  <c r="AB70" i="18"/>
  <c r="AB50" i="18"/>
  <c r="R90" i="18"/>
  <c r="R30" i="18"/>
  <c r="AT100" i="18"/>
  <c r="AJ40" i="18"/>
  <c r="BD40" i="18"/>
  <c r="AT80" i="18"/>
  <c r="AJ20" i="18"/>
  <c r="BD20" i="18"/>
  <c r="AJ80" i="18"/>
  <c r="AJ60" i="18"/>
  <c r="P100" i="18"/>
  <c r="AJ100" i="18"/>
  <c r="BD60" i="18"/>
  <c r="P80" i="18"/>
  <c r="P40" i="18"/>
  <c r="Z80" i="18"/>
  <c r="P20" i="18"/>
  <c r="AT60" i="18"/>
  <c r="AT40" i="18"/>
  <c r="Z60" i="18"/>
  <c r="Z40" i="18"/>
  <c r="Z20" i="18"/>
  <c r="AT20" i="18"/>
  <c r="Z100" i="18"/>
  <c r="P60" i="18"/>
  <c r="BD100" i="18"/>
  <c r="BD80" i="18"/>
  <c r="AT78" i="18"/>
  <c r="AJ18" i="18"/>
  <c r="BD18" i="18"/>
  <c r="AT58" i="18"/>
  <c r="Z98" i="18"/>
  <c r="BD98" i="18"/>
  <c r="AT18" i="18"/>
  <c r="BD78" i="18"/>
  <c r="Z38" i="18"/>
  <c r="Z18" i="18"/>
  <c r="P98" i="18"/>
  <c r="P18" i="18"/>
  <c r="BD58" i="18"/>
  <c r="P78" i="18"/>
  <c r="P58" i="18"/>
  <c r="BD38" i="18"/>
  <c r="AJ78" i="18"/>
  <c r="AJ38" i="18"/>
  <c r="AT98" i="18"/>
  <c r="P38" i="18"/>
  <c r="AJ98" i="18"/>
  <c r="Z78" i="18"/>
  <c r="AT38" i="18"/>
  <c r="AJ58" i="18"/>
  <c r="Z58" i="18"/>
  <c r="AV74" i="18"/>
  <c r="AL14" i="18"/>
  <c r="BF14" i="18"/>
  <c r="AV54" i="18"/>
  <c r="AB94" i="18"/>
  <c r="BF74" i="18"/>
  <c r="BF54" i="18"/>
  <c r="AL74" i="18"/>
  <c r="AL54" i="18"/>
  <c r="AL34" i="18"/>
  <c r="AV94" i="18"/>
  <c r="AV34" i="18"/>
  <c r="R74" i="18"/>
  <c r="R54" i="18"/>
  <c r="BF94" i="18"/>
  <c r="AV14" i="18"/>
  <c r="AL94" i="18"/>
  <c r="AB74" i="18"/>
  <c r="AB54" i="18"/>
  <c r="R34" i="18"/>
  <c r="BF34" i="18"/>
  <c r="AB34" i="18"/>
  <c r="AB14" i="18"/>
  <c r="R94" i="18"/>
  <c r="L12" i="19"/>
  <c r="L18" i="18"/>
  <c r="R16" i="18"/>
  <c r="J18" i="18"/>
  <c r="N16" i="18"/>
  <c r="P16" i="18"/>
  <c r="L16" i="18"/>
  <c r="P82" i="1"/>
  <c r="AE82" i="1" s="1"/>
  <c r="AD82" i="1" s="1"/>
  <c r="Q82" i="1"/>
  <c r="R10" i="18"/>
  <c r="R14" i="18"/>
  <c r="L14" i="18"/>
  <c r="P12" i="18"/>
  <c r="N14" i="18"/>
  <c r="J16" i="18"/>
  <c r="R12" i="18"/>
  <c r="N12" i="18"/>
  <c r="J12" i="18"/>
  <c r="P10" i="18"/>
  <c r="P14" i="18"/>
  <c r="L12" i="18"/>
  <c r="J14" i="18"/>
  <c r="AF21" i="1"/>
  <c r="P124" i="1"/>
  <c r="AE124" i="1" s="1"/>
  <c r="AD124" i="1" s="1"/>
  <c r="Q124" i="1"/>
  <c r="P127" i="1"/>
  <c r="AE127" i="1" s="1"/>
  <c r="AD127" i="1" s="1"/>
  <c r="Q127" i="1"/>
  <c r="P133" i="1"/>
  <c r="AE133" i="1" s="1"/>
  <c r="AD133" i="1" s="1"/>
  <c r="Q133" i="1"/>
  <c r="P130" i="1"/>
  <c r="AE130" i="1" s="1"/>
  <c r="AD130" i="1" s="1"/>
  <c r="Q130" i="1"/>
  <c r="N6" i="18"/>
  <c r="L10" i="18"/>
  <c r="N10" i="18"/>
  <c r="L6" i="18"/>
  <c r="J8" i="18"/>
  <c r="R8" i="18"/>
  <c r="N8" i="18"/>
  <c r="J10" i="18"/>
  <c r="P8" i="18"/>
  <c r="L8" i="18"/>
  <c r="R6" i="18"/>
  <c r="P6" i="18"/>
  <c r="P19" i="1"/>
  <c r="Q19" i="1"/>
  <c r="P52" i="1"/>
  <c r="Q52" i="1"/>
  <c r="P46" i="1"/>
  <c r="AE46" i="1" s="1"/>
  <c r="AD46" i="1" s="1"/>
  <c r="Q46" i="1"/>
  <c r="P16" i="1"/>
  <c r="AE16" i="1" s="1"/>
  <c r="AD16" i="1" s="1"/>
  <c r="Q16" i="1"/>
  <c r="P79" i="1"/>
  <c r="Q79" i="1"/>
  <c r="P106" i="1"/>
  <c r="AE106" i="1" s="1"/>
  <c r="AD106" i="1" s="1"/>
  <c r="Q106" i="1"/>
  <c r="P58" i="1"/>
  <c r="AE58" i="1" s="1"/>
  <c r="AD58" i="1" s="1"/>
  <c r="Q58" i="1"/>
  <c r="P28" i="1"/>
  <c r="AE28" i="1" s="1"/>
  <c r="AD28" i="1" s="1"/>
  <c r="Q28" i="1"/>
  <c r="P40" i="1"/>
  <c r="AE40" i="1" s="1"/>
  <c r="AD40" i="1" s="1"/>
  <c r="Q40" i="1"/>
  <c r="P22" i="1"/>
  <c r="AE22" i="1" s="1"/>
  <c r="AD22" i="1" s="1"/>
  <c r="Q22" i="1"/>
  <c r="P109" i="1"/>
  <c r="AE109" i="1" s="1"/>
  <c r="AD109" i="1" s="1"/>
  <c r="Q109" i="1"/>
  <c r="P73" i="1"/>
  <c r="AE73" i="1" s="1"/>
  <c r="AD73" i="1" s="1"/>
  <c r="Q73" i="1"/>
  <c r="P34" i="1"/>
  <c r="AE34" i="1" s="1"/>
  <c r="AD34" i="1" s="1"/>
  <c r="Q34" i="1"/>
  <c r="P112" i="1"/>
  <c r="AE112" i="1" s="1"/>
  <c r="AD112" i="1" s="1"/>
  <c r="Q112" i="1"/>
  <c r="P88" i="1"/>
  <c r="AE88" i="1" s="1"/>
  <c r="AD88" i="1" s="1"/>
  <c r="Q88" i="1"/>
  <c r="P49" i="1"/>
  <c r="AE49" i="1" s="1"/>
  <c r="AD49" i="1" s="1"/>
  <c r="Q49" i="1"/>
  <c r="P13" i="1"/>
  <c r="Q13" i="1"/>
  <c r="P121" i="1"/>
  <c r="AE121" i="1" s="1"/>
  <c r="AD121" i="1" s="1"/>
  <c r="Q121" i="1"/>
  <c r="P43" i="1"/>
  <c r="AE43" i="1" s="1"/>
  <c r="AD43" i="1" s="1"/>
  <c r="Q43" i="1"/>
  <c r="P115" i="1"/>
  <c r="AE115" i="1" s="1"/>
  <c r="AD115" i="1" s="1"/>
  <c r="Q115" i="1"/>
  <c r="P100" i="1"/>
  <c r="AE100" i="1" s="1"/>
  <c r="AD100" i="1" s="1"/>
  <c r="Q100" i="1"/>
  <c r="P61" i="1"/>
  <c r="AE61" i="1" s="1"/>
  <c r="AD61" i="1" s="1"/>
  <c r="Q61" i="1"/>
  <c r="P64" i="1"/>
  <c r="AE64" i="1" s="1"/>
  <c r="AD64" i="1" s="1"/>
  <c r="Q64" i="1"/>
  <c r="P55" i="1"/>
  <c r="AE55" i="1" s="1"/>
  <c r="AD55" i="1" s="1"/>
  <c r="Q55" i="1"/>
  <c r="P118" i="1"/>
  <c r="AE118" i="1" s="1"/>
  <c r="AD118" i="1" s="1"/>
  <c r="Q118" i="1"/>
  <c r="P76" i="1"/>
  <c r="AE76" i="1" s="1"/>
  <c r="AD76" i="1" s="1"/>
  <c r="Q76" i="1"/>
  <c r="P70" i="1"/>
  <c r="AE70" i="1" s="1"/>
  <c r="AD70" i="1" s="1"/>
  <c r="Q70" i="1"/>
  <c r="P25" i="1"/>
  <c r="AE25" i="1" s="1"/>
  <c r="AD25" i="1" s="1"/>
  <c r="Q25" i="1"/>
  <c r="P103" i="1"/>
  <c r="AE103" i="1" s="1"/>
  <c r="AD103" i="1" s="1"/>
  <c r="Q103" i="1"/>
  <c r="P91" i="1"/>
  <c r="AE91" i="1" s="1"/>
  <c r="AD91" i="1" s="1"/>
  <c r="Q91" i="1"/>
  <c r="P31" i="1"/>
  <c r="AE31" i="1" s="1"/>
  <c r="AD31" i="1" s="1"/>
  <c r="Q31" i="1"/>
  <c r="P94" i="1"/>
  <c r="Q94" i="1"/>
  <c r="P85" i="1"/>
  <c r="AE85" i="1" s="1"/>
  <c r="AD85" i="1" s="1"/>
  <c r="Q85" i="1"/>
  <c r="P37" i="1"/>
  <c r="AE37" i="1" s="1"/>
  <c r="AD37" i="1" s="1"/>
  <c r="Q37" i="1"/>
  <c r="P10" i="1"/>
  <c r="Q10" i="1"/>
  <c r="V185" i="19" l="1"/>
  <c r="V135" i="19"/>
  <c r="S135" i="19"/>
  <c r="V35" i="19"/>
  <c r="S35" i="19"/>
  <c r="S185" i="19"/>
  <c r="V85" i="19"/>
  <c r="P185" i="19"/>
  <c r="S85" i="19"/>
  <c r="P135" i="19"/>
  <c r="J85" i="19"/>
  <c r="P235" i="19"/>
  <c r="M135" i="19"/>
  <c r="S235" i="19"/>
  <c r="P35" i="19"/>
  <c r="J185" i="19"/>
  <c r="V235" i="19"/>
  <c r="P85" i="19"/>
  <c r="M35" i="19"/>
  <c r="M185" i="19"/>
  <c r="J135" i="19"/>
  <c r="J235" i="19"/>
  <c r="M85" i="19"/>
  <c r="M235" i="19"/>
  <c r="V211" i="19"/>
  <c r="V11" i="19"/>
  <c r="V161" i="19"/>
  <c r="S11" i="19"/>
  <c r="S161" i="19"/>
  <c r="V61" i="19"/>
  <c r="P161" i="19"/>
  <c r="S61" i="19"/>
  <c r="S211" i="19"/>
  <c r="V111" i="19"/>
  <c r="P211" i="19"/>
  <c r="P11" i="19"/>
  <c r="J161" i="19"/>
  <c r="M11" i="19"/>
  <c r="M161" i="19"/>
  <c r="S111" i="19"/>
  <c r="P61" i="19"/>
  <c r="J111" i="19"/>
  <c r="M61" i="19"/>
  <c r="P111" i="19"/>
  <c r="M211" i="19"/>
  <c r="J211" i="19"/>
  <c r="J61" i="19"/>
  <c r="M111" i="19"/>
  <c r="S192" i="19"/>
  <c r="V92" i="19"/>
  <c r="P192" i="19"/>
  <c r="S92" i="19"/>
  <c r="S242" i="19"/>
  <c r="P92" i="19"/>
  <c r="V192" i="19"/>
  <c r="V142" i="19"/>
  <c r="P242" i="19"/>
  <c r="S142" i="19"/>
  <c r="V42" i="19"/>
  <c r="P142" i="19"/>
  <c r="M192" i="19"/>
  <c r="J142" i="19"/>
  <c r="M92" i="19"/>
  <c r="J242" i="19"/>
  <c r="M242" i="19"/>
  <c r="V242" i="19"/>
  <c r="J92" i="19"/>
  <c r="S42" i="19"/>
  <c r="M142" i="19"/>
  <c r="P42" i="19"/>
  <c r="J192" i="19"/>
  <c r="J42" i="19"/>
  <c r="M42" i="19"/>
  <c r="V177" i="19"/>
  <c r="V227" i="19"/>
  <c r="V127" i="19"/>
  <c r="S127" i="19"/>
  <c r="V27" i="19"/>
  <c r="S27" i="19"/>
  <c r="S177" i="19"/>
  <c r="V77" i="19"/>
  <c r="P177" i="19"/>
  <c r="S77" i="19"/>
  <c r="P77" i="19"/>
  <c r="J77" i="19"/>
  <c r="S227" i="19"/>
  <c r="P227" i="19"/>
  <c r="M127" i="19"/>
  <c r="P27" i="19"/>
  <c r="J177" i="19"/>
  <c r="M27" i="19"/>
  <c r="P127" i="19"/>
  <c r="M177" i="19"/>
  <c r="J127" i="19"/>
  <c r="M77" i="19"/>
  <c r="M227" i="19"/>
  <c r="J227" i="19"/>
  <c r="V183" i="19"/>
  <c r="V233" i="19"/>
  <c r="V33" i="19"/>
  <c r="S33" i="19"/>
  <c r="S183" i="19"/>
  <c r="V83" i="19"/>
  <c r="P183" i="19"/>
  <c r="S83" i="19"/>
  <c r="S233" i="19"/>
  <c r="V133" i="19"/>
  <c r="P233" i="19"/>
  <c r="S133" i="19"/>
  <c r="P33" i="19"/>
  <c r="J183" i="19"/>
  <c r="M33" i="19"/>
  <c r="P83" i="19"/>
  <c r="M183" i="19"/>
  <c r="P133" i="19"/>
  <c r="J133" i="19"/>
  <c r="M83" i="19"/>
  <c r="M233" i="19"/>
  <c r="J233" i="19"/>
  <c r="J83" i="19"/>
  <c r="M133" i="19"/>
  <c r="V240" i="19"/>
  <c r="S90" i="19"/>
  <c r="S240" i="19"/>
  <c r="P90" i="19"/>
  <c r="V190" i="19"/>
  <c r="V140" i="19"/>
  <c r="P240" i="19"/>
  <c r="S140" i="19"/>
  <c r="V40" i="19"/>
  <c r="P140" i="19"/>
  <c r="S40" i="19"/>
  <c r="S190" i="19"/>
  <c r="M90" i="19"/>
  <c r="J40" i="19"/>
  <c r="P190" i="19"/>
  <c r="M240" i="19"/>
  <c r="J90" i="19"/>
  <c r="M140" i="19"/>
  <c r="V90" i="19"/>
  <c r="P40" i="19"/>
  <c r="J190" i="19"/>
  <c r="M40" i="19"/>
  <c r="M190" i="19"/>
  <c r="J140" i="19"/>
  <c r="J240" i="19"/>
  <c r="S210" i="19"/>
  <c r="V110" i="19"/>
  <c r="P210" i="19"/>
  <c r="V210" i="19"/>
  <c r="S110" i="19"/>
  <c r="V10" i="19"/>
  <c r="P110" i="19"/>
  <c r="V160" i="19"/>
  <c r="S10" i="19"/>
  <c r="S160" i="19"/>
  <c r="V60" i="19"/>
  <c r="P160" i="19"/>
  <c r="M210" i="19"/>
  <c r="J210" i="19"/>
  <c r="J60" i="19"/>
  <c r="S60" i="19"/>
  <c r="M110" i="19"/>
  <c r="P10" i="19"/>
  <c r="J160" i="19"/>
  <c r="M10" i="19"/>
  <c r="M160" i="19"/>
  <c r="M60" i="19"/>
  <c r="J110" i="19"/>
  <c r="P60" i="19"/>
  <c r="S176" i="19"/>
  <c r="S26" i="19"/>
  <c r="J226" i="19"/>
  <c r="P226" i="19"/>
  <c r="P76" i="19"/>
  <c r="V76" i="19"/>
  <c r="S226" i="19"/>
  <c r="P26" i="19"/>
  <c r="M126" i="19"/>
  <c r="V226" i="19"/>
  <c r="M76" i="19"/>
  <c r="J126" i="19"/>
  <c r="V26" i="19"/>
  <c r="J76" i="19"/>
  <c r="J176" i="19"/>
  <c r="S126" i="19"/>
  <c r="S76" i="19"/>
  <c r="M26" i="19"/>
  <c r="V126" i="19"/>
  <c r="P176" i="19"/>
  <c r="P126" i="19"/>
  <c r="V176" i="19"/>
  <c r="M226" i="19"/>
  <c r="M176" i="19"/>
  <c r="V243" i="19"/>
  <c r="V193" i="19"/>
  <c r="S243" i="19"/>
  <c r="V143" i="19"/>
  <c r="P243" i="19"/>
  <c r="S143" i="19"/>
  <c r="V43" i="19"/>
  <c r="P143" i="19"/>
  <c r="S43" i="19"/>
  <c r="S193" i="19"/>
  <c r="V93" i="19"/>
  <c r="P193" i="19"/>
  <c r="M243" i="19"/>
  <c r="J243" i="19"/>
  <c r="J93" i="19"/>
  <c r="P93" i="19"/>
  <c r="M143" i="19"/>
  <c r="P43" i="19"/>
  <c r="J193" i="19"/>
  <c r="M43" i="19"/>
  <c r="M193" i="19"/>
  <c r="J43" i="19"/>
  <c r="M93" i="19"/>
  <c r="J143" i="19"/>
  <c r="S93" i="19"/>
  <c r="V113" i="19"/>
  <c r="S113" i="19"/>
  <c r="V13" i="19"/>
  <c r="V213" i="19"/>
  <c r="V163" i="19"/>
  <c r="S13" i="19"/>
  <c r="S163" i="19"/>
  <c r="V63" i="19"/>
  <c r="P163" i="19"/>
  <c r="S63" i="19"/>
  <c r="P213" i="19"/>
  <c r="J63" i="19"/>
  <c r="M113" i="19"/>
  <c r="P13" i="19"/>
  <c r="J163" i="19"/>
  <c r="M13" i="19"/>
  <c r="M163" i="19"/>
  <c r="P63" i="19"/>
  <c r="J113" i="19"/>
  <c r="S213" i="19"/>
  <c r="M63" i="19"/>
  <c r="P113" i="19"/>
  <c r="M213" i="19"/>
  <c r="J213" i="19"/>
  <c r="S141" i="19"/>
  <c r="V41" i="19"/>
  <c r="P141" i="19"/>
  <c r="V241" i="19"/>
  <c r="S41" i="19"/>
  <c r="S191" i="19"/>
  <c r="V91" i="19"/>
  <c r="P191" i="19"/>
  <c r="S91" i="19"/>
  <c r="S241" i="19"/>
  <c r="M141" i="19"/>
  <c r="V191" i="19"/>
  <c r="P41" i="19"/>
  <c r="M41" i="19"/>
  <c r="M191" i="19"/>
  <c r="P241" i="19"/>
  <c r="J141" i="19"/>
  <c r="P91" i="19"/>
  <c r="M91" i="19"/>
  <c r="V141" i="19"/>
  <c r="J41" i="19"/>
  <c r="J91" i="19"/>
  <c r="J191" i="19"/>
  <c r="J241" i="19"/>
  <c r="M241" i="19"/>
  <c r="V171" i="19"/>
  <c r="V121" i="19"/>
  <c r="S121" i="19"/>
  <c r="V21" i="19"/>
  <c r="S21" i="19"/>
  <c r="S171" i="19"/>
  <c r="V71" i="19"/>
  <c r="P171" i="19"/>
  <c r="V221" i="19"/>
  <c r="S71" i="19"/>
  <c r="J71" i="19"/>
  <c r="M121" i="19"/>
  <c r="P121" i="19"/>
  <c r="P21" i="19"/>
  <c r="J171" i="19"/>
  <c r="M21" i="19"/>
  <c r="M171" i="19"/>
  <c r="P71" i="19"/>
  <c r="S221" i="19"/>
  <c r="J121" i="19"/>
  <c r="P221" i="19"/>
  <c r="M221" i="19"/>
  <c r="J221" i="19"/>
  <c r="M71" i="19"/>
  <c r="S218" i="19"/>
  <c r="V118" i="19"/>
  <c r="P218" i="19"/>
  <c r="S118" i="19"/>
  <c r="V18" i="19"/>
  <c r="P118" i="19"/>
  <c r="V168" i="19"/>
  <c r="S18" i="19"/>
  <c r="V218" i="19"/>
  <c r="S168" i="19"/>
  <c r="V68" i="19"/>
  <c r="P168" i="19"/>
  <c r="S68" i="19"/>
  <c r="M218" i="19"/>
  <c r="J218" i="19"/>
  <c r="J68" i="19"/>
  <c r="M118" i="19"/>
  <c r="J168" i="19"/>
  <c r="P18" i="19"/>
  <c r="M18" i="19"/>
  <c r="M168" i="19"/>
  <c r="P68" i="19"/>
  <c r="M68" i="19"/>
  <c r="J118" i="19"/>
  <c r="S130" i="19"/>
  <c r="V230" i="19"/>
  <c r="V30" i="19"/>
  <c r="P130" i="19"/>
  <c r="S30" i="19"/>
  <c r="S180" i="19"/>
  <c r="V180" i="19"/>
  <c r="V80" i="19"/>
  <c r="P180" i="19"/>
  <c r="S80" i="19"/>
  <c r="S230" i="19"/>
  <c r="M130" i="19"/>
  <c r="P80" i="19"/>
  <c r="P30" i="19"/>
  <c r="P230" i="19"/>
  <c r="M30" i="19"/>
  <c r="V130" i="19"/>
  <c r="M180" i="19"/>
  <c r="J130" i="19"/>
  <c r="M80" i="19"/>
  <c r="J80" i="19"/>
  <c r="J180" i="19"/>
  <c r="M230" i="19"/>
  <c r="J230" i="19"/>
  <c r="V175" i="19"/>
  <c r="S175" i="19"/>
  <c r="V75" i="19"/>
  <c r="P175" i="19"/>
  <c r="S75" i="19"/>
  <c r="S225" i="19"/>
  <c r="V225" i="19"/>
  <c r="V125" i="19"/>
  <c r="P225" i="19"/>
  <c r="S125" i="19"/>
  <c r="V25" i="19"/>
  <c r="P125" i="19"/>
  <c r="M175" i="19"/>
  <c r="M75" i="19"/>
  <c r="M225" i="19"/>
  <c r="J225" i="19"/>
  <c r="P75" i="19"/>
  <c r="J75" i="19"/>
  <c r="S25" i="19"/>
  <c r="M125" i="19"/>
  <c r="M25" i="19"/>
  <c r="P25" i="19"/>
  <c r="J125" i="19"/>
  <c r="J175" i="19"/>
  <c r="V214" i="19"/>
  <c r="V164" i="19"/>
  <c r="S14" i="19"/>
  <c r="S164" i="19"/>
  <c r="V64" i="19"/>
  <c r="S64" i="19"/>
  <c r="S214" i="19"/>
  <c r="P64" i="19"/>
  <c r="V114" i="19"/>
  <c r="P214" i="19"/>
  <c r="S114" i="19"/>
  <c r="M14" i="19"/>
  <c r="M164" i="19"/>
  <c r="J114" i="19"/>
  <c r="M64" i="19"/>
  <c r="P114" i="19"/>
  <c r="M214" i="19"/>
  <c r="J214" i="19"/>
  <c r="J64" i="19"/>
  <c r="J164" i="19"/>
  <c r="P14" i="19"/>
  <c r="M114" i="19"/>
  <c r="P164" i="19"/>
  <c r="V14" i="19"/>
  <c r="V245" i="19"/>
  <c r="V95" i="19"/>
  <c r="S95" i="19"/>
  <c r="S245" i="19"/>
  <c r="V145" i="19"/>
  <c r="P245" i="19"/>
  <c r="S145" i="19"/>
  <c r="V195" i="19"/>
  <c r="V45" i="19"/>
  <c r="P145" i="19"/>
  <c r="S45" i="19"/>
  <c r="J145" i="19"/>
  <c r="M95" i="19"/>
  <c r="S195" i="19"/>
  <c r="M245" i="19"/>
  <c r="J245" i="19"/>
  <c r="P95" i="19"/>
  <c r="J95" i="19"/>
  <c r="J45" i="19"/>
  <c r="M145" i="19"/>
  <c r="P45" i="19"/>
  <c r="J195" i="19"/>
  <c r="P195" i="19"/>
  <c r="M195" i="19"/>
  <c r="M45" i="19"/>
  <c r="V239" i="19"/>
  <c r="S39" i="19"/>
  <c r="S189" i="19"/>
  <c r="V89" i="19"/>
  <c r="S89" i="19"/>
  <c r="S239" i="19"/>
  <c r="P89" i="19"/>
  <c r="V189" i="19"/>
  <c r="V139" i="19"/>
  <c r="P239" i="19"/>
  <c r="S139" i="19"/>
  <c r="M39" i="19"/>
  <c r="M189" i="19"/>
  <c r="J139" i="19"/>
  <c r="M89" i="19"/>
  <c r="V39" i="19"/>
  <c r="P189" i="19"/>
  <c r="M239" i="19"/>
  <c r="J239" i="19"/>
  <c r="P139" i="19"/>
  <c r="J89" i="19"/>
  <c r="M139" i="19"/>
  <c r="J189" i="19"/>
  <c r="J39" i="19"/>
  <c r="P39" i="19"/>
  <c r="V217" i="19"/>
  <c r="S167" i="19"/>
  <c r="V67" i="19"/>
  <c r="P167" i="19"/>
  <c r="S67" i="19"/>
  <c r="S217" i="19"/>
  <c r="V117" i="19"/>
  <c r="P217" i="19"/>
  <c r="S117" i="19"/>
  <c r="V17" i="19"/>
  <c r="M167" i="19"/>
  <c r="V167" i="19"/>
  <c r="P67" i="19"/>
  <c r="M67" i="19"/>
  <c r="M217" i="19"/>
  <c r="J217" i="19"/>
  <c r="J67" i="19"/>
  <c r="P117" i="19"/>
  <c r="M117" i="19"/>
  <c r="J117" i="19"/>
  <c r="J167" i="19"/>
  <c r="M17" i="19"/>
  <c r="P17" i="19"/>
  <c r="S17" i="19"/>
  <c r="V219" i="19"/>
  <c r="V19" i="19"/>
  <c r="V169" i="19"/>
  <c r="S19" i="19"/>
  <c r="S169" i="19"/>
  <c r="V69" i="19"/>
  <c r="P169" i="19"/>
  <c r="S69" i="19"/>
  <c r="S219" i="19"/>
  <c r="V119" i="19"/>
  <c r="P219" i="19"/>
  <c r="P119" i="19"/>
  <c r="P19" i="19"/>
  <c r="J169" i="19"/>
  <c r="M19" i="19"/>
  <c r="S119" i="19"/>
  <c r="M169" i="19"/>
  <c r="J119" i="19"/>
  <c r="P69" i="19"/>
  <c r="M69" i="19"/>
  <c r="M219" i="19"/>
  <c r="J219" i="19"/>
  <c r="J69" i="19"/>
  <c r="M119" i="19"/>
  <c r="V237" i="19"/>
  <c r="S87" i="19"/>
  <c r="S237" i="19"/>
  <c r="P87" i="19"/>
  <c r="V187" i="19"/>
  <c r="V137" i="19"/>
  <c r="P237" i="19"/>
  <c r="S137" i="19"/>
  <c r="V37" i="19"/>
  <c r="P137" i="19"/>
  <c r="S37" i="19"/>
  <c r="S187" i="19"/>
  <c r="M87" i="19"/>
  <c r="P187" i="19"/>
  <c r="M237" i="19"/>
  <c r="J87" i="19"/>
  <c r="V87" i="19"/>
  <c r="M137" i="19"/>
  <c r="P37" i="19"/>
  <c r="J187" i="19"/>
  <c r="M37" i="19"/>
  <c r="M187" i="19"/>
  <c r="J137" i="19"/>
  <c r="J237" i="19"/>
  <c r="V232" i="19"/>
  <c r="V182" i="19"/>
  <c r="S232" i="19"/>
  <c r="V132" i="19"/>
  <c r="P232" i="19"/>
  <c r="S132" i="19"/>
  <c r="V32" i="19"/>
  <c r="P132" i="19"/>
  <c r="S32" i="19"/>
  <c r="S182" i="19"/>
  <c r="V82" i="19"/>
  <c r="P182" i="19"/>
  <c r="M232" i="19"/>
  <c r="J232" i="19"/>
  <c r="J82" i="19"/>
  <c r="M132" i="19"/>
  <c r="P32" i="19"/>
  <c r="J182" i="19"/>
  <c r="P82" i="19"/>
  <c r="M32" i="19"/>
  <c r="M182" i="19"/>
  <c r="S82" i="19"/>
  <c r="J132" i="19"/>
  <c r="M82" i="19"/>
  <c r="V220" i="19"/>
  <c r="V70" i="19"/>
  <c r="S70" i="19"/>
  <c r="S220" i="19"/>
  <c r="V120" i="19"/>
  <c r="P220" i="19"/>
  <c r="S120" i="19"/>
  <c r="V20" i="19"/>
  <c r="V170" i="19"/>
  <c r="S20" i="19"/>
  <c r="J120" i="19"/>
  <c r="M70" i="19"/>
  <c r="P170" i="19"/>
  <c r="P70" i="19"/>
  <c r="M220" i="19"/>
  <c r="J220" i="19"/>
  <c r="J70" i="19"/>
  <c r="S170" i="19"/>
  <c r="M120" i="19"/>
  <c r="P120" i="19"/>
  <c r="P20" i="19"/>
  <c r="J170" i="19"/>
  <c r="M20" i="19"/>
  <c r="M170" i="19"/>
  <c r="V234" i="19"/>
  <c r="V84" i="19"/>
  <c r="S84" i="19"/>
  <c r="V184" i="19"/>
  <c r="S234" i="19"/>
  <c r="V134" i="19"/>
  <c r="P234" i="19"/>
  <c r="S134" i="19"/>
  <c r="V34" i="19"/>
  <c r="S34" i="19"/>
  <c r="J134" i="19"/>
  <c r="S184" i="19"/>
  <c r="P184" i="19"/>
  <c r="M84" i="19"/>
  <c r="M234" i="19"/>
  <c r="J234" i="19"/>
  <c r="P134" i="19"/>
  <c r="J84" i="19"/>
  <c r="M134" i="19"/>
  <c r="P84" i="19"/>
  <c r="P34" i="19"/>
  <c r="J184" i="19"/>
  <c r="M184" i="19"/>
  <c r="M34" i="19"/>
  <c r="S116" i="19"/>
  <c r="V16" i="19"/>
  <c r="P116" i="19"/>
  <c r="V166" i="19"/>
  <c r="S16" i="19"/>
  <c r="V216" i="19"/>
  <c r="S166" i="19"/>
  <c r="V66" i="19"/>
  <c r="P166" i="19"/>
  <c r="S66" i="19"/>
  <c r="S216" i="19"/>
  <c r="V116" i="19"/>
  <c r="M116" i="19"/>
  <c r="P216" i="19"/>
  <c r="P16" i="19"/>
  <c r="M16" i="19"/>
  <c r="M166" i="19"/>
  <c r="J116" i="19"/>
  <c r="P66" i="19"/>
  <c r="M66" i="19"/>
  <c r="M216" i="19"/>
  <c r="J166" i="19"/>
  <c r="J216" i="19"/>
  <c r="J66" i="19"/>
  <c r="V228" i="19"/>
  <c r="S28" i="19"/>
  <c r="S178" i="19"/>
  <c r="V178" i="19"/>
  <c r="V78" i="19"/>
  <c r="S78" i="19"/>
  <c r="S228" i="19"/>
  <c r="P78" i="19"/>
  <c r="V128" i="19"/>
  <c r="P228" i="19"/>
  <c r="S128" i="19"/>
  <c r="M28" i="19"/>
  <c r="P128" i="19"/>
  <c r="M178" i="19"/>
  <c r="V28" i="19"/>
  <c r="J128" i="19"/>
  <c r="M78" i="19"/>
  <c r="M228" i="19"/>
  <c r="J228" i="19"/>
  <c r="J78" i="19"/>
  <c r="J178" i="19"/>
  <c r="M128" i="19"/>
  <c r="P178" i="19"/>
  <c r="P28" i="19"/>
  <c r="S124" i="19"/>
  <c r="V24" i="19"/>
  <c r="P124" i="19"/>
  <c r="S24" i="19"/>
  <c r="V174" i="19"/>
  <c r="S174" i="19"/>
  <c r="V74" i="19"/>
  <c r="P174" i="19"/>
  <c r="S74" i="19"/>
  <c r="S224" i="19"/>
  <c r="V224" i="19"/>
  <c r="V124" i="19"/>
  <c r="M124" i="19"/>
  <c r="P24" i="19"/>
  <c r="M24" i="19"/>
  <c r="M174" i="19"/>
  <c r="J124" i="19"/>
  <c r="M74" i="19"/>
  <c r="P224" i="19"/>
  <c r="M224" i="19"/>
  <c r="J174" i="19"/>
  <c r="J224" i="19"/>
  <c r="P74" i="19"/>
  <c r="J74" i="19"/>
  <c r="V194" i="19"/>
  <c r="V244" i="19"/>
  <c r="V44" i="19"/>
  <c r="S44" i="19"/>
  <c r="S194" i="19"/>
  <c r="V94" i="19"/>
  <c r="P194" i="19"/>
  <c r="S94" i="19"/>
  <c r="S244" i="19"/>
  <c r="V144" i="19"/>
  <c r="P244" i="19"/>
  <c r="P44" i="19"/>
  <c r="J194" i="19"/>
  <c r="S144" i="19"/>
  <c r="M44" i="19"/>
  <c r="M194" i="19"/>
  <c r="P94" i="19"/>
  <c r="P144" i="19"/>
  <c r="J144" i="19"/>
  <c r="M94" i="19"/>
  <c r="J44" i="19"/>
  <c r="M244" i="19"/>
  <c r="J244" i="19"/>
  <c r="J94" i="19"/>
  <c r="M144" i="19"/>
  <c r="V222" i="19"/>
  <c r="S22" i="19"/>
  <c r="V172" i="19"/>
  <c r="S172" i="19"/>
  <c r="V72" i="19"/>
  <c r="S72" i="19"/>
  <c r="S222" i="19"/>
  <c r="P72" i="19"/>
  <c r="V122" i="19"/>
  <c r="P222" i="19"/>
  <c r="S122" i="19"/>
  <c r="M22" i="19"/>
  <c r="M172" i="19"/>
  <c r="J122" i="19"/>
  <c r="M72" i="19"/>
  <c r="P172" i="19"/>
  <c r="M222" i="19"/>
  <c r="J222" i="19"/>
  <c r="V22" i="19"/>
  <c r="J72" i="19"/>
  <c r="M122" i="19"/>
  <c r="P22" i="19"/>
  <c r="P122" i="19"/>
  <c r="J172" i="19"/>
  <c r="V229" i="19"/>
  <c r="S79" i="19"/>
  <c r="S229" i="19"/>
  <c r="P79" i="19"/>
  <c r="V129" i="19"/>
  <c r="P229" i="19"/>
  <c r="S129" i="19"/>
  <c r="V29" i="19"/>
  <c r="P129" i="19"/>
  <c r="S29" i="19"/>
  <c r="S179" i="19"/>
  <c r="M79" i="19"/>
  <c r="V179" i="19"/>
  <c r="M229" i="19"/>
  <c r="J79" i="19"/>
  <c r="V79" i="19"/>
  <c r="M129" i="19"/>
  <c r="P179" i="19"/>
  <c r="P29" i="19"/>
  <c r="J179" i="19"/>
  <c r="M29" i="19"/>
  <c r="M179" i="19"/>
  <c r="J229" i="19"/>
  <c r="J129" i="19"/>
  <c r="S65" i="19"/>
  <c r="S215" i="19"/>
  <c r="V115" i="19"/>
  <c r="P215" i="19"/>
  <c r="S115" i="19"/>
  <c r="V15" i="19"/>
  <c r="P115" i="19"/>
  <c r="V165" i="19"/>
  <c r="S15" i="19"/>
  <c r="V215" i="19"/>
  <c r="S165" i="19"/>
  <c r="V65" i="19"/>
  <c r="P65" i="19"/>
  <c r="M65" i="19"/>
  <c r="M215" i="19"/>
  <c r="J65" i="19"/>
  <c r="M115" i="19"/>
  <c r="P165" i="19"/>
  <c r="P15" i="19"/>
  <c r="J165" i="19"/>
  <c r="M15" i="19"/>
  <c r="J215" i="19"/>
  <c r="M165" i="19"/>
  <c r="J115" i="19"/>
  <c r="S197" i="19"/>
  <c r="S47" i="19"/>
  <c r="P47" i="19"/>
  <c r="P147" i="19"/>
  <c r="M97" i="19"/>
  <c r="J147" i="19"/>
  <c r="V197" i="19"/>
  <c r="V97" i="19"/>
  <c r="P97" i="19"/>
  <c r="M47" i="19"/>
  <c r="M197" i="19"/>
  <c r="J197" i="19"/>
  <c r="J47" i="19"/>
  <c r="S247" i="19"/>
  <c r="V247" i="19"/>
  <c r="M147" i="19"/>
  <c r="J247" i="19"/>
  <c r="J97" i="19"/>
  <c r="S147" i="19"/>
  <c r="V147" i="19"/>
  <c r="V47" i="19"/>
  <c r="P247" i="19"/>
  <c r="S97" i="19"/>
  <c r="P197" i="19"/>
  <c r="M247" i="19"/>
  <c r="S200" i="19"/>
  <c r="V200" i="19"/>
  <c r="S150" i="19"/>
  <c r="P150" i="19"/>
  <c r="J50" i="19"/>
  <c r="J250" i="19"/>
  <c r="J100" i="19"/>
  <c r="V100" i="19"/>
  <c r="S250" i="19"/>
  <c r="P200" i="19"/>
  <c r="M200" i="19"/>
  <c r="S50" i="19"/>
  <c r="P100" i="19"/>
  <c r="V250" i="19"/>
  <c r="P250" i="19"/>
  <c r="M150" i="19"/>
  <c r="M100" i="19"/>
  <c r="V150" i="19"/>
  <c r="V50" i="19"/>
  <c r="P50" i="19"/>
  <c r="S100" i="19"/>
  <c r="J150" i="19"/>
  <c r="M50" i="19"/>
  <c r="J200" i="19"/>
  <c r="M250" i="19"/>
  <c r="V246" i="19"/>
  <c r="P246" i="19"/>
  <c r="M246" i="19"/>
  <c r="M146" i="19"/>
  <c r="M46" i="19"/>
  <c r="P146" i="19"/>
  <c r="V146" i="19"/>
  <c r="V46" i="19"/>
  <c r="P46" i="19"/>
  <c r="J96" i="19"/>
  <c r="J146" i="19"/>
  <c r="J246" i="19"/>
  <c r="J46" i="19"/>
  <c r="S246" i="19"/>
  <c r="M196" i="19"/>
  <c r="S196" i="19"/>
  <c r="V196" i="19"/>
  <c r="S146" i="19"/>
  <c r="S46" i="19"/>
  <c r="S96" i="19"/>
  <c r="M96" i="19"/>
  <c r="V96" i="19"/>
  <c r="P196" i="19"/>
  <c r="P96" i="19"/>
  <c r="J196" i="19"/>
  <c r="V248" i="19"/>
  <c r="V148" i="19"/>
  <c r="P148" i="19"/>
  <c r="M148" i="19"/>
  <c r="J198" i="19"/>
  <c r="M248" i="19"/>
  <c r="J98" i="19"/>
  <c r="V48" i="19"/>
  <c r="S198" i="19"/>
  <c r="M198" i="19"/>
  <c r="P248" i="19"/>
  <c r="M48" i="19"/>
  <c r="J148" i="19"/>
  <c r="V198" i="19"/>
  <c r="V98" i="19"/>
  <c r="S48" i="19"/>
  <c r="P48" i="19"/>
  <c r="J248" i="19"/>
  <c r="J48" i="19"/>
  <c r="S248" i="19"/>
  <c r="S98" i="19"/>
  <c r="P98" i="19"/>
  <c r="M98" i="19"/>
  <c r="S148" i="19"/>
  <c r="P198" i="19"/>
  <c r="V99" i="19"/>
  <c r="S249" i="19"/>
  <c r="P199" i="19"/>
  <c r="M199" i="19"/>
  <c r="J149" i="19"/>
  <c r="P49" i="19"/>
  <c r="J49" i="19"/>
  <c r="V249" i="19"/>
  <c r="V149" i="19"/>
  <c r="M249" i="19"/>
  <c r="S49" i="19"/>
  <c r="M99" i="19"/>
  <c r="J99" i="19"/>
  <c r="V49" i="19"/>
  <c r="S199" i="19"/>
  <c r="S99" i="19"/>
  <c r="P99" i="19"/>
  <c r="J199" i="19"/>
  <c r="M49" i="19"/>
  <c r="V199" i="19"/>
  <c r="S149" i="19"/>
  <c r="P149" i="19"/>
  <c r="M149" i="19"/>
  <c r="P249" i="19"/>
  <c r="J249" i="19"/>
  <c r="J18" i="19"/>
  <c r="J35" i="19"/>
  <c r="J14" i="19"/>
  <c r="J30" i="19"/>
  <c r="J27" i="19"/>
  <c r="J20" i="19"/>
  <c r="J34" i="19"/>
  <c r="J17" i="19"/>
  <c r="J19" i="19"/>
  <c r="J25" i="19"/>
  <c r="J11" i="19"/>
  <c r="J37" i="19"/>
  <c r="J33" i="19"/>
  <c r="J16" i="19"/>
  <c r="J28" i="19"/>
  <c r="J10" i="19"/>
  <c r="J24" i="19"/>
  <c r="J26" i="19"/>
  <c r="J22" i="19"/>
  <c r="J29" i="19"/>
  <c r="J13" i="19"/>
  <c r="J15" i="19"/>
  <c r="J21" i="19"/>
  <c r="J32" i="19"/>
  <c r="AF82" i="1"/>
  <c r="AE79" i="1"/>
  <c r="AE81" i="1"/>
  <c r="AD81" i="1" s="1"/>
  <c r="AF124" i="1"/>
  <c r="AF130" i="1"/>
  <c r="AF127" i="1"/>
  <c r="AF133" i="1"/>
  <c r="AF31" i="1"/>
  <c r="AF55" i="1"/>
  <c r="AF103" i="1"/>
  <c r="AE15" i="1"/>
  <c r="AD15" i="1" s="1"/>
  <c r="AE14" i="1"/>
  <c r="AD14" i="1" s="1"/>
  <c r="AE13" i="1"/>
  <c r="AD13" i="1" s="1"/>
  <c r="AF22" i="1"/>
  <c r="AF28" i="1"/>
  <c r="AF34" i="1"/>
  <c r="AF91" i="1"/>
  <c r="AF64" i="1"/>
  <c r="AF58" i="1"/>
  <c r="AF106" i="1"/>
  <c r="AF25" i="1"/>
  <c r="AF100" i="1"/>
  <c r="AF115" i="1"/>
  <c r="AF49" i="1"/>
  <c r="AF40" i="1"/>
  <c r="AF16" i="1"/>
  <c r="AF85" i="1"/>
  <c r="AF76" i="1"/>
  <c r="AE12" i="1"/>
  <c r="AD12" i="1" s="1"/>
  <c r="AE11" i="1"/>
  <c r="AD11" i="1" s="1"/>
  <c r="AE10" i="1"/>
  <c r="AD10" i="1" s="1"/>
  <c r="AF37" i="1"/>
  <c r="AF118" i="1"/>
  <c r="AF121" i="1"/>
  <c r="AF61" i="1"/>
  <c r="AF73" i="1"/>
  <c r="AF109" i="1"/>
  <c r="AF70" i="1"/>
  <c r="AF43" i="1"/>
  <c r="AF88" i="1"/>
  <c r="AF112" i="1"/>
  <c r="AF46" i="1"/>
  <c r="W10" i="1"/>
  <c r="AA10" i="1" s="1"/>
  <c r="AA11" i="1" s="1"/>
  <c r="W13" i="1"/>
  <c r="AA13" i="1" s="1"/>
  <c r="AA14" i="1" s="1"/>
  <c r="X231" i="19" l="1"/>
  <c r="U81" i="19"/>
  <c r="U231" i="19"/>
  <c r="R81" i="19"/>
  <c r="X131" i="19"/>
  <c r="R231" i="19"/>
  <c r="U131" i="19"/>
  <c r="X31" i="19"/>
  <c r="R131" i="19"/>
  <c r="U31" i="19"/>
  <c r="U181" i="19"/>
  <c r="O81" i="19"/>
  <c r="O231" i="19"/>
  <c r="L81" i="19"/>
  <c r="O131" i="19"/>
  <c r="X181" i="19"/>
  <c r="R31" i="19"/>
  <c r="L181" i="19"/>
  <c r="X81" i="19"/>
  <c r="O31" i="19"/>
  <c r="R181" i="19"/>
  <c r="L131" i="19"/>
  <c r="L231" i="19"/>
  <c r="O181" i="19"/>
  <c r="L31" i="19"/>
  <c r="AA15" i="1"/>
  <c r="AC14" i="1"/>
  <c r="AB14" i="1"/>
  <c r="W208" i="19" s="1"/>
  <c r="AA12" i="1"/>
  <c r="AB11" i="1"/>
  <c r="W207" i="19" s="1"/>
  <c r="AC11" i="1"/>
  <c r="AF81" i="1"/>
  <c r="AD79" i="1"/>
  <c r="AE80" i="1"/>
  <c r="AD80" i="1" s="1"/>
  <c r="AB7" i="1"/>
  <c r="Q57" i="19" l="1"/>
  <c r="K107" i="19"/>
  <c r="W157" i="19"/>
  <c r="Q107" i="19"/>
  <c r="K58" i="19"/>
  <c r="N108" i="19"/>
  <c r="N158" i="19"/>
  <c r="N8" i="19"/>
  <c r="N107" i="19"/>
  <c r="T58" i="19"/>
  <c r="K57" i="19"/>
  <c r="Q158" i="19"/>
  <c r="N57" i="19"/>
  <c r="K207" i="19"/>
  <c r="W7" i="19"/>
  <c r="K208" i="19"/>
  <c r="K158" i="19"/>
  <c r="W58" i="19"/>
  <c r="N157" i="19"/>
  <c r="N207" i="19"/>
  <c r="T107" i="19"/>
  <c r="N208" i="19"/>
  <c r="Q8" i="19"/>
  <c r="T158" i="19"/>
  <c r="N7" i="19"/>
  <c r="Q157" i="19"/>
  <c r="Q207" i="19"/>
  <c r="N58" i="19"/>
  <c r="T108" i="19"/>
  <c r="T8" i="19"/>
  <c r="T57" i="19"/>
  <c r="W57" i="19"/>
  <c r="W107" i="19"/>
  <c r="Q108" i="19"/>
  <c r="Q208" i="19"/>
  <c r="W158" i="19"/>
  <c r="Q7" i="19"/>
  <c r="T157" i="19"/>
  <c r="T207" i="19"/>
  <c r="K108" i="19"/>
  <c r="W108" i="19"/>
  <c r="W8" i="19"/>
  <c r="K157" i="19"/>
  <c r="T7" i="19"/>
  <c r="Q58" i="19"/>
  <c r="T208" i="19"/>
  <c r="W231" i="19"/>
  <c r="W181" i="19"/>
  <c r="W81" i="19"/>
  <c r="T81" i="19"/>
  <c r="T231" i="19"/>
  <c r="W131" i="19"/>
  <c r="Q231" i="19"/>
  <c r="T131" i="19"/>
  <c r="W31" i="19"/>
  <c r="T31" i="19"/>
  <c r="K131" i="19"/>
  <c r="Q131" i="19"/>
  <c r="N81" i="19"/>
  <c r="N231" i="19"/>
  <c r="K231" i="19"/>
  <c r="K81" i="19"/>
  <c r="N131" i="19"/>
  <c r="Q81" i="19"/>
  <c r="Q31" i="19"/>
  <c r="K181" i="19"/>
  <c r="T181" i="19"/>
  <c r="Q181" i="19"/>
  <c r="N31" i="19"/>
  <c r="N181" i="19"/>
  <c r="S181" i="19"/>
  <c r="V181" i="19"/>
  <c r="V81" i="19"/>
  <c r="P181" i="19"/>
  <c r="S81" i="19"/>
  <c r="S231" i="19"/>
  <c r="V131" i="19"/>
  <c r="P231" i="19"/>
  <c r="S131" i="19"/>
  <c r="V231" i="19"/>
  <c r="V31" i="19"/>
  <c r="M181" i="19"/>
  <c r="J131" i="19"/>
  <c r="S31" i="19"/>
  <c r="P131" i="19"/>
  <c r="M81" i="19"/>
  <c r="M231" i="19"/>
  <c r="J231" i="19"/>
  <c r="J81" i="19"/>
  <c r="P81" i="19"/>
  <c r="M131" i="19"/>
  <c r="J181" i="19"/>
  <c r="P31" i="19"/>
  <c r="M31" i="19"/>
  <c r="K31" i="19"/>
  <c r="K7" i="19"/>
  <c r="K8" i="19"/>
  <c r="J31" i="19"/>
  <c r="AF14" i="1"/>
  <c r="AF11" i="1"/>
  <c r="AF79" i="1"/>
  <c r="AC15" i="1"/>
  <c r="AB15" i="1"/>
  <c r="AB12" i="1"/>
  <c r="AC12" i="1"/>
  <c r="AF80" i="1"/>
  <c r="AC7" i="1"/>
  <c r="X107" i="19" l="1"/>
  <c r="U57" i="19"/>
  <c r="X207" i="19"/>
  <c r="X57" i="19"/>
  <c r="U107" i="19"/>
  <c r="L57" i="19"/>
  <c r="R107" i="19"/>
  <c r="O157" i="19"/>
  <c r="X7" i="19"/>
  <c r="O107" i="19"/>
  <c r="R57" i="19"/>
  <c r="O7" i="19"/>
  <c r="X157" i="19"/>
  <c r="R207" i="19"/>
  <c r="L107" i="19"/>
  <c r="O57" i="19"/>
  <c r="U7" i="19"/>
  <c r="R7" i="19"/>
  <c r="U207" i="19"/>
  <c r="U157" i="19"/>
  <c r="L157" i="19"/>
  <c r="L207" i="19"/>
  <c r="R157" i="19"/>
  <c r="O207" i="19"/>
  <c r="X208" i="19"/>
  <c r="R208" i="19"/>
  <c r="R108" i="19"/>
  <c r="X158" i="19"/>
  <c r="U108" i="19"/>
  <c r="O58" i="19"/>
  <c r="R158" i="19"/>
  <c r="U8" i="19"/>
  <c r="O8" i="19"/>
  <c r="O208" i="19"/>
  <c r="O108" i="19"/>
  <c r="U158" i="19"/>
  <c r="O158" i="19"/>
  <c r="L208" i="19"/>
  <c r="U208" i="19"/>
  <c r="L158" i="19"/>
  <c r="X58" i="19"/>
  <c r="X8" i="19"/>
  <c r="L58" i="19"/>
  <c r="U58" i="19"/>
  <c r="R58" i="19"/>
  <c r="R8" i="19"/>
  <c r="L108" i="19"/>
  <c r="X108" i="19"/>
  <c r="L8" i="19"/>
  <c r="L7" i="19"/>
  <c r="AF15" i="1"/>
  <c r="AF12" i="1"/>
  <c r="AB10" i="1"/>
  <c r="S57" i="19" l="1"/>
  <c r="S7" i="19"/>
  <c r="P7" i="19"/>
  <c r="P157" i="19"/>
  <c r="V207" i="19"/>
  <c r="S157" i="19"/>
  <c r="J157" i="19"/>
  <c r="S207" i="19"/>
  <c r="M57" i="19"/>
  <c r="V57" i="19"/>
  <c r="P57" i="19"/>
  <c r="V107" i="19"/>
  <c r="M207" i="19"/>
  <c r="M7" i="19"/>
  <c r="P107" i="19"/>
  <c r="J107" i="19"/>
  <c r="S107" i="19"/>
  <c r="J57" i="19"/>
  <c r="J207" i="19"/>
  <c r="V157" i="19"/>
  <c r="V7" i="19"/>
  <c r="P207" i="19"/>
  <c r="M157" i="19"/>
  <c r="M107" i="19"/>
  <c r="J7" i="19"/>
  <c r="AF10" i="1"/>
  <c r="AC10" i="1"/>
  <c r="AB13" i="1" s="1"/>
  <c r="S108" i="19" l="1"/>
  <c r="S58" i="19"/>
  <c r="P58" i="19"/>
  <c r="V58" i="19"/>
  <c r="V8" i="19"/>
  <c r="V208" i="19"/>
  <c r="J108" i="19"/>
  <c r="J208" i="19"/>
  <c r="P108" i="19"/>
  <c r="S208" i="19"/>
  <c r="M58" i="19"/>
  <c r="V158" i="19"/>
  <c r="M108" i="19"/>
  <c r="J58" i="19"/>
  <c r="P208" i="19"/>
  <c r="M8" i="19"/>
  <c r="J158" i="19"/>
  <c r="M158" i="19"/>
  <c r="S8" i="19"/>
  <c r="V108" i="19"/>
  <c r="S158" i="19"/>
  <c r="P8" i="19"/>
  <c r="M208" i="19"/>
  <c r="P158" i="19"/>
  <c r="J8" i="19"/>
  <c r="AF13" i="1"/>
  <c r="AC13" i="1"/>
  <c r="P159" i="19" l="1"/>
  <c r="S9" i="19"/>
  <c r="J59" i="19"/>
  <c r="V209" i="19"/>
  <c r="M59" i="19"/>
  <c r="S59" i="19"/>
  <c r="M159" i="19"/>
  <c r="M109" i="19"/>
  <c r="S209" i="19"/>
  <c r="P59" i="19"/>
  <c r="P9" i="19"/>
  <c r="M9" i="19"/>
  <c r="V109" i="19"/>
  <c r="V159" i="19"/>
  <c r="J109" i="19"/>
  <c r="P209" i="19"/>
  <c r="P109" i="19"/>
  <c r="J159" i="19"/>
  <c r="S159" i="19"/>
  <c r="S109" i="19"/>
  <c r="M209" i="19"/>
  <c r="V59" i="19"/>
  <c r="V9" i="19"/>
  <c r="J209" i="19"/>
  <c r="J9" i="19"/>
  <c r="N7" i="1"/>
  <c r="O7" i="1" s="1"/>
  <c r="AX66" i="18" l="1"/>
  <c r="AN6" i="18"/>
  <c r="AN46" i="18"/>
  <c r="AX46" i="18"/>
  <c r="AD86" i="18"/>
  <c r="T66" i="18"/>
  <c r="AN26" i="18"/>
  <c r="AX86" i="18"/>
  <c r="AD66" i="18"/>
  <c r="AD46" i="18"/>
  <c r="AD26" i="18"/>
  <c r="T46" i="18"/>
  <c r="AX6" i="18"/>
  <c r="AN86" i="18"/>
  <c r="AN66" i="18"/>
  <c r="AD6" i="18"/>
  <c r="J46" i="18"/>
  <c r="J26" i="18"/>
  <c r="AX26" i="18"/>
  <c r="T86" i="18"/>
  <c r="J66" i="18"/>
  <c r="T6" i="18"/>
  <c r="T26" i="18"/>
  <c r="J86" i="18"/>
  <c r="J6" i="18"/>
  <c r="AE52" i="1"/>
  <c r="AD52" i="1" s="1"/>
  <c r="AE94" i="1"/>
  <c r="AD94" i="1" s="1"/>
  <c r="AE19" i="1"/>
  <c r="AD19" i="1" s="1"/>
  <c r="P7" i="1"/>
  <c r="Q7" i="1"/>
  <c r="V212" i="19" l="1"/>
  <c r="V62" i="19"/>
  <c r="S62" i="19"/>
  <c r="S212" i="19"/>
  <c r="V112" i="19"/>
  <c r="P212" i="19"/>
  <c r="S112" i="19"/>
  <c r="V12" i="19"/>
  <c r="V162" i="19"/>
  <c r="S12" i="19"/>
  <c r="P62" i="19"/>
  <c r="J112" i="19"/>
  <c r="M62" i="19"/>
  <c r="P112" i="19"/>
  <c r="M212" i="19"/>
  <c r="J212" i="19"/>
  <c r="J62" i="19"/>
  <c r="P162" i="19"/>
  <c r="M112" i="19"/>
  <c r="S162" i="19"/>
  <c r="P12" i="19"/>
  <c r="J162" i="19"/>
  <c r="M162" i="19"/>
  <c r="M12" i="19"/>
  <c r="V236" i="19"/>
  <c r="S36" i="19"/>
  <c r="S186" i="19"/>
  <c r="V86" i="19"/>
  <c r="S86" i="19"/>
  <c r="S236" i="19"/>
  <c r="P86" i="19"/>
  <c r="V186" i="19"/>
  <c r="V136" i="19"/>
  <c r="P236" i="19"/>
  <c r="S136" i="19"/>
  <c r="M36" i="19"/>
  <c r="M186" i="19"/>
  <c r="J136" i="19"/>
  <c r="V36" i="19"/>
  <c r="M86" i="19"/>
  <c r="P186" i="19"/>
  <c r="M236" i="19"/>
  <c r="J236" i="19"/>
  <c r="P136" i="19"/>
  <c r="J86" i="19"/>
  <c r="M136" i="19"/>
  <c r="J186" i="19"/>
  <c r="P36" i="19"/>
  <c r="V223" i="19"/>
  <c r="S73" i="19"/>
  <c r="S223" i="19"/>
  <c r="P73" i="19"/>
  <c r="V123" i="19"/>
  <c r="P223" i="19"/>
  <c r="S123" i="19"/>
  <c r="V23" i="19"/>
  <c r="P123" i="19"/>
  <c r="S23" i="19"/>
  <c r="V173" i="19"/>
  <c r="S173" i="19"/>
  <c r="M73" i="19"/>
  <c r="P173" i="19"/>
  <c r="M223" i="19"/>
  <c r="J73" i="19"/>
  <c r="M123" i="19"/>
  <c r="P23" i="19"/>
  <c r="J173" i="19"/>
  <c r="M23" i="19"/>
  <c r="M173" i="19"/>
  <c r="J123" i="19"/>
  <c r="V73" i="19"/>
  <c r="J223" i="19"/>
  <c r="J12" i="19"/>
  <c r="J36" i="19"/>
  <c r="J23" i="19"/>
  <c r="AF94" i="1"/>
  <c r="AF19" i="1"/>
  <c r="AF52" i="1"/>
  <c r="AE7" i="1"/>
  <c r="AD7" i="1" s="1"/>
  <c r="AE9" i="1"/>
  <c r="AD9" i="1" s="1"/>
  <c r="AE8" i="1"/>
  <c r="AD8" i="1" s="1"/>
  <c r="V206" i="19" l="1"/>
  <c r="V156" i="19"/>
  <c r="S6" i="19"/>
  <c r="S156" i="19"/>
  <c r="V56" i="19"/>
  <c r="S56" i="19"/>
  <c r="S206" i="19"/>
  <c r="V106" i="19"/>
  <c r="P206" i="19"/>
  <c r="S106" i="19"/>
  <c r="P106" i="19"/>
  <c r="M6" i="19"/>
  <c r="M156" i="19"/>
  <c r="P56" i="19"/>
  <c r="J106" i="19"/>
  <c r="P156" i="19"/>
  <c r="V6" i="19"/>
  <c r="M56" i="19"/>
  <c r="M206" i="19"/>
  <c r="J206" i="19"/>
  <c r="J56" i="19"/>
  <c r="J156" i="19"/>
  <c r="P6" i="19"/>
  <c r="M106" i="19"/>
  <c r="X206" i="19"/>
  <c r="X56" i="19"/>
  <c r="U56" i="19"/>
  <c r="U206" i="19"/>
  <c r="X106" i="19"/>
  <c r="R206" i="19"/>
  <c r="U106" i="19"/>
  <c r="X6" i="19"/>
  <c r="X156" i="19"/>
  <c r="U6" i="19"/>
  <c r="R56" i="19"/>
  <c r="L106" i="19"/>
  <c r="O56" i="19"/>
  <c r="O206" i="19"/>
  <c r="L206" i="19"/>
  <c r="L56" i="19"/>
  <c r="U156" i="19"/>
  <c r="O106" i="19"/>
  <c r="R106" i="19"/>
  <c r="R156" i="19"/>
  <c r="R6" i="19"/>
  <c r="L156" i="19"/>
  <c r="O156" i="19"/>
  <c r="O6" i="19"/>
  <c r="T156" i="19"/>
  <c r="W56" i="19"/>
  <c r="Q156" i="19"/>
  <c r="W206" i="19"/>
  <c r="T56" i="19"/>
  <c r="T206" i="19"/>
  <c r="W106" i="19"/>
  <c r="Q206" i="19"/>
  <c r="T106" i="19"/>
  <c r="W6" i="19"/>
  <c r="N156" i="19"/>
  <c r="T6" i="19"/>
  <c r="Q56" i="19"/>
  <c r="N56" i="19"/>
  <c r="W156" i="19"/>
  <c r="N206" i="19"/>
  <c r="K206" i="19"/>
  <c r="K56" i="19"/>
  <c r="N106" i="19"/>
  <c r="N6" i="19"/>
  <c r="Q6" i="19"/>
  <c r="Q106" i="19"/>
  <c r="K156" i="19"/>
  <c r="K106" i="19"/>
  <c r="K6" i="19"/>
  <c r="L6" i="19"/>
  <c r="J6" i="19"/>
  <c r="AF9" i="1"/>
  <c r="AF8" i="1"/>
  <c r="AF7" i="1"/>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<sst xmlns="http://schemas.openxmlformats.org/spreadsheetml/2006/main" count="1512" uniqueCount="602">
  <si>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</si>
  <si>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</si>
  <si>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</si>
  <si>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</si>
  <si>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</si>
  <si>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</si>
  <si>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</si>
  <si>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</si>
  <si>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</si>
  <si>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</si>
  <si>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</si>
  <si>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</si>
  <si>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</si>
  <si>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</si>
  <si>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</si>
  <si>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</si>
  <si>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</si>
  <si>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</si>
  <si>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</si>
  <si>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</si>
  <si>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</si>
  <si>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</si>
  <si>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</si>
  <si>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</si>
  <si>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</si>
  <si>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</si>
  <si>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</si>
  <si>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</si>
  <si>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</si>
  <si>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</si>
  <si>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</si>
  <si>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</si>
  <si>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</si>
  <si>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</si>
  <si>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</si>
  <si>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</si>
  <si>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</si>
  <si>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</si>
  <si>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</si>
  <si>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</si>
  <si>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</si>
  <si>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</si>
  <si>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</si>
  <si>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</si>
  <si>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</si>
  <si>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</si>
  <si>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</si>
  <si>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</si>
  <si>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</si>
  <si>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</si>
  <si>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</si>
  <si>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</si>
  <si>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</si>
  <si>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</si>
  <si>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</si>
  <si>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</si>
  <si>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</si>
  <si>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</si>
  <si>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</si>
  <si>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</si>
  <si>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</si>
  <si>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</si>
  <si>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</si>
  <si>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</si>
  <si>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</si>
  <si>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</si>
  <si>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</si>
  <si>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</si>
  <si>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</si>
  <si>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</si>
  <si>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</si>
  <si>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</si>
  <si>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</si>
  <si>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</si>
  <si>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</si>
  <si>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</si>
  <si>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</si>
  <si>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</si>
  <si>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</si>
  <si>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</si>
  <si>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</si>
  <si>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</si>
  <si>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</si>
  <si>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</si>
  <si>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</si>
  <si>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</si>
  <si>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</si>
  <si>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</si>
  <si>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</si>
  <si>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</si>
  <si>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</si>
  <si>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</si>
  <si>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</si>
  <si>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</si>
  <si>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</si>
  <si>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</si>
  <si>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</si>
  <si>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</si>
  <si>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</si>
  <si>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</si>
  <si>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</si>
  <si>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</si>
  <si>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</si>
  <si>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</si>
  <si>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</si>
  <si>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</si>
  <si>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</si>
  <si>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</si>
  <si>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</si>
  <si>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</si>
  <si>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</si>
  <si>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</si>
  <si>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</si>
  <si>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</si>
  <si>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</si>
  <si>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</si>
  <si>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</si>
  <si>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</si>
  <si>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</si>
  <si>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</si>
  <si>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</si>
  <si>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</si>
  <si>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</si>
  <si>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</si>
  <si>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</si>
  <si>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</si>
  <si>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</si>
  <si>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</si>
  <si>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</si>
  <si>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</si>
  <si>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</si>
  <si>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</si>
  <si>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</si>
  <si>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</si>
  <si>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</si>
  <si>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</si>
  <si>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</si>
  <si>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</si>
  <si>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</si>
  <si>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</si>
  <si>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</si>
  <si>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</si>
  <si>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</si>
  <si>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</si>
  <si>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</si>
  <si>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</si>
  <si>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</si>
  <si>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</si>
  <si>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</si>
  <si>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</si>
  <si>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</si>
  <si>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</si>
  <si>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</si>
  <si>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</si>
  <si>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</si>
  <si>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</si>
  <si>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</si>
  <si>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</si>
  <si>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</si>
  <si>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</si>
  <si>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</si>
  <si>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</si>
  <si>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</si>
  <si>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</si>
  <si>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</si>
  <si>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</si>
  <si>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</si>
  <si>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</si>
  <si>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</si>
  <si>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</si>
  <si>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</si>
  <si>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</si>
  <si>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</si>
  <si>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</si>
  <si>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</si>
  <si>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</si>
  <si>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</si>
  <si>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</si>
  <si>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</si>
  <si>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</si>
  <si>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</si>
  <si>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</si>
  <si>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</si>
  <si>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</si>
  <si>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</si>
  <si>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</si>
  <si>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</si>
  <si>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</si>
  <si>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</si>
  <si>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</si>
  <si>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</si>
  <si>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</si>
  <si>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</si>
  <si>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</si>
  <si>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</si>
  <si>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</si>
  <si>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</si>
  <si>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</si>
  <si>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</si>
  <si>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</si>
  <si>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</si>
  <si>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</si>
  <si>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</si>
  <si>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</si>
  <si>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</si>
  <si>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</si>
  <si>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</si>
  <si>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</si>
  <si>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</si>
  <si>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</si>
  <si>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</si>
  <si>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</si>
  <si>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</si>
  <si>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</si>
  <si>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</si>
  <si>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</si>
  <si>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</si>
  <si>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</si>
  <si>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</si>
  <si>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</si>
  <si>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</si>
  <si>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</si>
  <si>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</si>
  <si>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</si>
  <si>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</si>
  <si>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</si>
  <si>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</si>
  <si>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</si>
  <si>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</si>
  <si>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</si>
  <si>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</si>
  <si>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</si>
  <si>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</si>
  <si>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</si>
  <si>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</si>
  <si>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</si>
  <si>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</si>
  <si>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</si>
  <si>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</si>
  <si>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</si>
  <si>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</si>
  <si>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</si>
  <si>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</si>
  <si>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</si>
  <si>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</si>
  <si>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</si>
  <si>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</si>
  <si>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</si>
  <si>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</si>
  <si>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</si>
  <si>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</si>
  <si>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</si>
  <si>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</si>
  <si>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</si>
  <si>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</si>
  <si>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</si>
  <si>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</si>
  <si>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</si>
  <si>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</si>
  <si>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</si>
  <si>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</si>
  <si>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</si>
  <si>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</si>
  <si>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</si>
  <si>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</si>
  <si>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</si>
  <si>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</si>
  <si>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</si>
  <si>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</si>
  <si>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</si>
  <si>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</si>
  <si>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</si>
  <si>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</si>
  <si>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</si>
  <si>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</si>
  <si>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</si>
  <si>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</si>
  <si>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</si>
  <si>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</si>
  <si>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</si>
  <si>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</si>
  <si>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</si>
  <si>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</si>
  <si>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</si>
  <si>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</si>
  <si>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</si>
  <si>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</si>
  <si>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</si>
  <si>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</si>
  <si>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</si>
  <si>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</si>
  <si>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</si>
  <si>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</si>
  <si>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</si>
  <si>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</si>
  <si>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</si>
  <si>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</si>
  <si>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</si>
  <si>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</si>
  <si>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</si>
  <si>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</si>
  <si>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</si>
  <si>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</si>
  <si>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</si>
  <si>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</si>
  <si>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</si>
  <si>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</si>
  <si>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</si>
  <si>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</si>
  <si>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</si>
  <si>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</si>
  <si>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</si>
  <si>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</si>
  <si>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</si>
  <si>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</si>
  <si>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</si>
  <si>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</si>
  <si>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</si>
  <si>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</si>
  <si>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</si>
  <si>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</si>
  <si>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</si>
  <si>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</si>
  <si>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</si>
  <si>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</si>
  <si>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</si>
  <si>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</si>
  <si>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</si>
  <si>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</si>
  <si>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</si>
  <si>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</si>
  <si>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</si>
  <si>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Detective</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</si>
  <si>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</si>
  <si>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</si>
  <si>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</si>
  <si>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</si>
  <si>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</si>
  <si>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</si>
  <si>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</si>
  <si>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</si>
  <si>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</si>
  <si>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</si>
  <si>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</si>
  <si>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</si>
  <si>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</si>
  <si>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</si>
  <si>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</si>
  <si>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</si>
  <si>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</si>
  <si>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</si>
  <si>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</si>
  <si>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</si>
  <si>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</si>
  <si>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</si>
  <si>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</si>
  <si>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</si>
  <si>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</si>
  <si>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</si>
  <si>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</si>
  <si>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</si>
  <si>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</si>
  <si>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</si>
  <si>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</si>
  <si>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</si>
  <si>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</si>
  <si>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</si>
  <si>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</si>
  <si>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</si>
  <si>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</si>
  <si>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</si>
  <si>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</si>
  <si>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</si>
  <si>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</si>
  <si>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</si>
  <si>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</si>
  <si>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</si>
  <si>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</si>
  <si>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</si>
  <si>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</si>
  <si>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</si>
  <si>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</si>
  <si>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</si>
  <si>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</si>
  <si>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</si>
  <si>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</si>
  <si>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</si>
  <si>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</si>
  <si>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</si>
  <si>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</si>
  <si>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</si>
  <si>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</si>
  <si>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</si>
  <si>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</si>
  <si>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</si>
  <si>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</si>
  <si>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</si>
  <si>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</si>
  <si>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</si>
  <si>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</si>
  <si>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</si>
  <si>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</si>
  <si>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</si>
  <si>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</si>
  <si>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</si>
  <si>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</si>
  <si>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</si>
  <si>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</si>
  <si>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</si>
  <si>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</si>
  <si>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</si>
  <si>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</si>
  <si>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</si>
  <si>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</si>
  <si>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</si>
  <si>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</si>
  <si>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</si>
  <si>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</si>
  <si>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</si>
  <si>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</si>
  <si>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</si>
  <si>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</si>
  <si>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</si>
  <si>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</si>
  <si>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</si>
  <si>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</si>
  <si>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</si>
  <si>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</si>
  <si>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</si>
  <si>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</si>
  <si>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</si>
  <si>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</si>
  <si>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</si>
  <si>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</si>
  <si>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</si>
  <si>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</si>
  <si>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</si>
  <si>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</si>
  <si>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</si>
  <si>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</si>
  <si>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</si>
  <si>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</si>
  <si>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</si>
  <si>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</si>
  <si>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</si>
  <si>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</si>
  <si>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</si>
  <si>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</si>
  <si>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</si>
  <si>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</si>
  <si>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</si>
  <si>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</si>
  <si>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</si>
  <si>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</si>
  <si>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</si>
  <si>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</si>
  <si>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</si>
  <si>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</si>
  <si>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</si>
  <si>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</si>
  <si>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</si>
  <si>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</si>
  <si>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</si>
  <si>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</si>
  <si>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</si>
  <si>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</si>
  <si>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</si>
  <si>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</si>
  <si>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</si>
  <si>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</si>
  <si>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</si>
  <si>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</si>
  <si>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</si>
  <si>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</si>
  <si>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</si>
  <si>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</si>
  <si>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</si>
  <si>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</si>
  <si>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</si>
  <si>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</si>
  <si>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</si>
  <si>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</si>
  <si>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</si>
  <si>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</si>
  <si>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</si>
  <si>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</si>
  <si>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</si>
  <si>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</si>
  <si>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</si>
  <si>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</si>
  <si>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</si>
  <si>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</si>
  <si>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</si>
  <si>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</si>
  <si>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</si>
  <si>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</si>
  <si>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</si>
  <si>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</si>
  <si>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</si>
  <si>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</si>
  <si>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</si>
  <si>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</si>
  <si>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</si>
  <si>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</si>
  <si>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</si>
  <si>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</si>
  <si>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</si>
  <si>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</si>
  <si>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</si>
  <si>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</si>
  <si>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</si>
  <si>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</si>
  <si>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</si>
  <si>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</si>
  <si>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</si>
  <si>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</si>
  <si>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</si>
  <si>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</si>
  <si>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</si>
  <si>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</si>
  <si>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</si>
  <si>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</si>
  <si>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Mapa Riesgos Institucional Empresa de Renovación y Desarrollo Urbano de Bogotá - 2022</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</si>
  <si>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</si>
  <si>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Cada vez que exista una capacitación superior a 8 horas</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</si>
  <si>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</si>
  <si>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</si>
  <si>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</si>
  <si>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</si>
  <si>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</si>
  <si>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</si>
  <si>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</si>
  <si>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</si>
  <si>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</si>
  <si>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</si>
  <si>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</si>
  <si>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</si>
  <si>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</si>
  <si>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</si>
  <si>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</si>
  <si>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</si>
  <si>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</si>
  <si>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</si>
  <si>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</si>
  <si>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</si>
  <si>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</si>
  <si>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</si>
  <si>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</si>
  <si>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</si>
  <si>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backup respectiva. </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</si>
  <si>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</si>
  <si>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</si>
  <si>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r>
      <t xml:space="preserve">Los funcionarios de la Empresa cada vez que asisten a una capacitación superior a 8 horas deben ejecutar el Plan Padrino definido en la </t>
    </r>
    <r>
      <rPr>
        <b/>
        <i/>
        <sz val="10"/>
        <color theme="1"/>
        <rFont val="Arial Narrow"/>
        <family val="2"/>
      </rPr>
      <t>GI-35 Guía para implementar el programa Plan Padrino Entornos Enseñar - Aprender</t>
    </r>
    <r>
      <rPr>
        <sz val="10"/>
        <color theme="1"/>
        <rFont val="Arial Narrow"/>
        <family val="2"/>
      </rPr>
      <t>, como evidencia  de su ejecución se realiza el envió a la Subgerencia de Gestión Corporativa del formato</t>
    </r>
    <r>
      <rPr>
        <i/>
        <sz val="10"/>
        <color theme="1"/>
        <rFont val="Arial Narrow"/>
        <family val="2"/>
      </rPr>
      <t xml:space="preserve"> FT- 141 Evaluación de las actividades de capacitación</t>
    </r>
    <r>
      <rPr>
        <sz val="10"/>
        <color theme="1"/>
        <rFont val="Arial Narrow"/>
        <family val="2"/>
      </rPr>
      <t xml:space="preserve"> o la Encuesta de satisfacción de programas de capacitación de Google Forms que se remite vía correo electrónico.
Así mismo, treinta (30) días hábiles posteriores a la culminación del Plan Padrino, los apadrinados y sus jefes inmediatos que pertenecen a la planta de personal de la Empresa, diligencian el formato </t>
    </r>
    <r>
      <rPr>
        <i/>
        <sz val="10"/>
        <color theme="1"/>
        <rFont val="Arial Narrow"/>
        <family val="2"/>
      </rPr>
      <t>FT-142 Medición de impacto de la capacitación</t>
    </r>
    <r>
      <rPr>
        <sz val="10"/>
        <color theme="1"/>
        <rFont val="Arial Narrow"/>
        <family val="2"/>
      </rPr>
      <t xml:space="preserve"> y lo remiten a la Subgerencia de Gestión Corporativa.</t>
    </r>
  </si>
  <si>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</si>
  <si>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</si>
  <si>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</si>
  <si>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</si>
  <si>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</si>
  <si>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</si>
  <si>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</si>
  <si>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</si>
  <si>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</si>
  <si>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</si>
  <si>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</si>
  <si>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</si>
  <si>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</si>
  <si>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</si>
  <si>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</si>
  <si>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</si>
  <si>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</si>
  <si>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</si>
  <si>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</si>
  <si>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</si>
  <si>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</si>
  <si>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</si>
  <si>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</si>
  <si>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</si>
  <si>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</si>
  <si>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</si>
  <si>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</si>
  <si>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</si>
  <si>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</si>
  <si>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</si>
  <si>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</si>
  <si>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</si>
  <si>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</si>
  <si>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</si>
  <si>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</si>
  <si>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</si>
  <si>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</si>
  <si>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</si>
  <si>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</si>
  <si>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</si>
  <si>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</si>
  <si>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</si>
  <si>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</si>
  <si>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</si>
  <si>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</si>
  <si>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Documentar los lineamientos para controlar la fuga del conocimiento, así como la definición de las herramientas de monitoreo y seguimiento.</t>
  </si>
  <si>
    <t>Acción de Contingencia ante posible materialización</t>
  </si>
  <si>
    <t>Generar espacios con los involucrados, para realizar el levantamiento de la información, documentarla, publicarla y socializarla.</t>
  </si>
  <si>
    <t>Se establecerá una vez se tengan definidos los  lineamientos para controlar la fuga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</si>
</sst>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1"/>
      <name val="Arial Narrow"/>
      <family val="2"/>
    </font>
    <font>
      <b/>
      <sz val="10"/>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52">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2" xfId="0" applyFont="1" applyFill="1" applyBorder="1" applyAlignment="1" applyProtection="1">
      <alignment horizontal="justify" vertical="center" wrapText="1"/>
      <protection locked="0"/>
    </xf>
    <xf numFmtId="0" fontId="6" fillId="0" borderId="83"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164" fontId="6" fillId="0" borderId="2" xfId="1" applyNumberFormat="1" applyFont="1" applyFill="1" applyBorder="1" applyAlignment="1">
      <alignment horizontal="center" vertical="center"/>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3" xfId="0" applyFont="1" applyFill="1" applyBorder="1" applyAlignment="1">
      <alignment horizontal="justify" vertical="center" wrapText="1"/>
    </xf>
    <xf numFmtId="0" fontId="6" fillId="0" borderId="83" xfId="0" applyFont="1" applyFill="1" applyBorder="1" applyAlignment="1">
      <alignment horizontal="center" vertical="center"/>
    </xf>
    <xf numFmtId="164" fontId="6" fillId="3" borderId="2" xfId="1" applyNumberFormat="1" applyFont="1" applyFill="1" applyBorder="1" applyAlignment="1">
      <alignment horizontal="center" vertical="center"/>
    </xf>
    <xf numFmtId="165"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Fill="1" applyBorder="1" applyAlignment="1" applyProtection="1">
      <alignment horizontal="justify" vertical="center" wrapText="1"/>
      <protection locked="0"/>
    </xf>
    <xf numFmtId="0" fontId="6" fillId="0" borderId="0" xfId="0" applyFont="1" applyFill="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4" xfId="0" applyFont="1" applyFill="1" applyBorder="1" applyAlignment="1" applyProtection="1">
      <alignment horizontal="justify" vertical="center" wrapText="1"/>
      <protection locked="0"/>
    </xf>
    <xf numFmtId="0" fontId="3" fillId="3" borderId="84" xfId="0" applyFont="1" applyFill="1" applyBorder="1" applyAlignment="1" applyProtection="1">
      <alignment horizontal="center" vertical="center"/>
      <protection locked="0"/>
    </xf>
    <xf numFmtId="165" fontId="3" fillId="3" borderId="8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4" xfId="0" applyFont="1" applyFill="1" applyBorder="1" applyAlignment="1" applyProtection="1">
      <alignment horizontal="justify" vertical="center" wrapText="1"/>
      <protection locked="0"/>
    </xf>
    <xf numFmtId="0" fontId="6"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xf>
    <xf numFmtId="0" fontId="48" fillId="3" borderId="83"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1" fillId="0" borderId="2" xfId="0" applyFont="1" applyFill="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Fill="1" applyBorder="1" applyAlignment="1" applyProtection="1">
      <alignment horizontal="justify" vertical="center" wrapText="1"/>
      <protection locked="0"/>
    </xf>
    <xf numFmtId="0" fontId="59" fillId="0" borderId="2" xfId="0" applyFont="1" applyFill="1" applyBorder="1" applyAlignment="1" applyProtection="1">
      <alignment horizontal="center" vertical="center"/>
      <protection locked="0"/>
    </xf>
    <xf numFmtId="14" fontId="59" fillId="0" borderId="2" xfId="0" applyNumberFormat="1"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pplyProtection="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1"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59" fillId="0" borderId="0" xfId="0" applyFont="1" applyFill="1" applyAlignment="1">
      <alignment vertical="center"/>
    </xf>
    <xf numFmtId="0" fontId="3" fillId="0" borderId="83" xfId="0" applyFont="1" applyFill="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2" xfId="0" applyFont="1" applyBorder="1" applyAlignment="1" applyProtection="1">
      <alignment horizontal="center" vertical="center"/>
      <protection locked="0"/>
    </xf>
    <xf numFmtId="0" fontId="48" fillId="0" borderId="0" xfId="0" applyFont="1" applyFill="1" applyAlignment="1">
      <alignment vertical="center"/>
    </xf>
    <xf numFmtId="0" fontId="48" fillId="0" borderId="2" xfId="0" applyFont="1" applyFill="1" applyBorder="1" applyAlignment="1" applyProtection="1">
      <alignment horizontal="center" vertical="center" textRotation="90"/>
      <protection locked="0"/>
    </xf>
    <xf numFmtId="9" fontId="48" fillId="0" borderId="2" xfId="0" applyNumberFormat="1" applyFont="1" applyFill="1" applyBorder="1" applyAlignment="1" applyProtection="1">
      <alignment horizontal="center" vertical="center"/>
      <protection hidden="1"/>
    </xf>
    <xf numFmtId="9" fontId="48" fillId="0" borderId="4" xfId="0" applyNumberFormat="1" applyFont="1" applyFill="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protection hidden="1"/>
    </xf>
    <xf numFmtId="0" fontId="48" fillId="0" borderId="4" xfId="0" applyFont="1" applyFill="1" applyBorder="1" applyAlignment="1" applyProtection="1">
      <alignment horizontal="center" vertical="center" textRotation="90"/>
      <protection locked="0"/>
    </xf>
    <xf numFmtId="0" fontId="6" fillId="13" borderId="2" xfId="0" applyFont="1" applyFill="1" applyBorder="1" applyAlignment="1" applyProtection="1">
      <alignment horizontal="center" vertical="center"/>
      <protection hidden="1"/>
    </xf>
    <xf numFmtId="0" fontId="6" fillId="3" borderId="0" xfId="0" applyFont="1" applyFill="1" applyAlignment="1">
      <alignment horizontal="center" vertical="center"/>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2" fillId="0" borderId="77" xfId="0" applyFont="1" applyBorder="1" applyAlignment="1">
      <alignment horizontal="center" vertical="center" wrapText="1"/>
    </xf>
    <xf numFmtId="0" fontId="42" fillId="0" borderId="0" xfId="0" applyFont="1" applyBorder="1" applyAlignment="1">
      <alignment horizontal="center" vertical="center"/>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Border="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0" xfId="0" applyFont="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Fill="1" applyBorder="1" applyAlignment="1" applyProtection="1">
      <alignment horizontal="center" vertical="center" wrapText="1"/>
      <protection hidden="1"/>
    </xf>
    <xf numFmtId="0" fontId="52" fillId="0" borderId="8" xfId="0" applyFont="1" applyFill="1" applyBorder="1" applyAlignment="1" applyProtection="1">
      <alignment horizontal="center" vertical="center" wrapText="1"/>
      <protection hidden="1"/>
    </xf>
    <xf numFmtId="0" fontId="52" fillId="0" borderId="5" xfId="0" applyFont="1" applyFill="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8" xfId="0" applyFont="1" applyBorder="1" applyAlignment="1" applyProtection="1">
      <alignment horizontal="center" vertical="center"/>
    </xf>
    <xf numFmtId="0" fontId="48" fillId="0" borderId="4"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4" xfId="0" applyFont="1" applyBorder="1" applyAlignment="1" applyProtection="1">
      <alignment horizontal="justify" vertical="center" wrapText="1"/>
    </xf>
    <xf numFmtId="0" fontId="48" fillId="0" borderId="8" xfId="0" applyFont="1" applyBorder="1" applyAlignment="1" applyProtection="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Fill="1" applyBorder="1" applyAlignment="1" applyProtection="1">
      <alignment horizontal="center" vertical="center" wrapText="1"/>
      <protection hidden="1"/>
    </xf>
    <xf numFmtId="0" fontId="57" fillId="0" borderId="8" xfId="0" applyFont="1" applyFill="1" applyBorder="1" applyAlignment="1" applyProtection="1">
      <alignment horizontal="center" vertical="center" wrapText="1"/>
      <protection hidden="1"/>
    </xf>
    <xf numFmtId="0" fontId="57" fillId="0" borderId="5" xfId="0" applyFont="1" applyFill="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6" fillId="0" borderId="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justify" vertical="center" wrapText="1"/>
    </xf>
    <xf numFmtId="0" fontId="6" fillId="0" borderId="8" xfId="0" applyFont="1" applyBorder="1" applyAlignment="1" applyProtection="1">
      <alignment horizontal="justify" vertical="center"/>
    </xf>
    <xf numFmtId="0" fontId="6" fillId="0" borderId="8" xfId="0" applyFont="1" applyBorder="1" applyAlignment="1" applyProtection="1">
      <alignment horizontal="justify" vertical="center" wrapText="1"/>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4" xfId="0" quotePrefix="1" applyFont="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wrapText="1"/>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justify" vertical="center"/>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xf>
    <xf numFmtId="0" fontId="6" fillId="0" borderId="5" xfId="0" applyFont="1" applyBorder="1" applyAlignment="1" applyProtection="1">
      <alignment horizontal="justify" vertical="center" wrapText="1"/>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xf>
    <xf numFmtId="0" fontId="6" fillId="3" borderId="5" xfId="0" applyFont="1" applyFill="1" applyBorder="1" applyAlignment="1" applyProtection="1">
      <alignment horizontal="center" vertical="center"/>
      <protection locked="0"/>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20" fillId="11" borderId="0" xfId="0" applyFont="1" applyFill="1" applyBorder="1" applyAlignment="1" applyProtection="1">
      <alignment horizontal="center" vertic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20" fillId="11" borderId="75" xfId="0" applyFont="1" applyFill="1" applyBorder="1" applyAlignment="1" applyProtection="1">
      <alignment horizontal="center" vertical="center" wrapText="1" readingOrder="1"/>
      <protection hidden="1"/>
    </xf>
    <xf numFmtId="0" fontId="20" fillId="11" borderId="76" xfId="0" applyFont="1" applyFill="1" applyBorder="1" applyAlignment="1" applyProtection="1">
      <alignment horizontal="center" vertical="center" wrapText="1" readingOrder="1"/>
      <protection hidden="1"/>
    </xf>
    <xf numFmtId="0" fontId="20" fillId="11" borderId="7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20" fillId="5" borderId="17" xfId="0" applyFont="1" applyFill="1" applyBorder="1" applyAlignment="1" applyProtection="1">
      <alignment horizont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597">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596" dataDxfId="2595">
  <autoFilter ref="B209:C219"/>
  <tableColumns count="2">
    <tableColumn id="1" name="Criterios" dataDxfId="2594"/>
    <tableColumn id="2" name="Subcriterios" dataDxfId="259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53125" defaultRowHeight="14.5" x14ac:dyDescent="0.35"/>
  <cols>
    <col min="1" max="1" width="2.81640625" style="56" customWidth="1"/>
    <col min="2" max="3" width="24.7265625" style="56" customWidth="1"/>
    <col min="4" max="4" width="16" style="56" customWidth="1"/>
    <col min="5" max="5" width="24.7265625" style="56" customWidth="1"/>
    <col min="6" max="6" width="27.7265625" style="56" customWidth="1"/>
    <col min="7" max="8" width="24.7265625" style="56" customWidth="1"/>
    <col min="9" max="16384" width="11.453125" style="56"/>
  </cols>
  <sheetData>
    <row r="1" spans="2:8" ht="15" thickBot="1" x14ac:dyDescent="0.4"/>
    <row r="2" spans="2:8" ht="18" x14ac:dyDescent="0.35">
      <c r="B2" s="239" t="s">
        <v>140</v>
      </c>
      <c r="C2" s="240"/>
      <c r="D2" s="240"/>
      <c r="E2" s="240"/>
      <c r="F2" s="240"/>
      <c r="G2" s="240"/>
      <c r="H2" s="241"/>
    </row>
    <row r="3" spans="2:8" x14ac:dyDescent="0.35">
      <c r="B3" s="57"/>
      <c r="C3" s="58"/>
      <c r="D3" s="58"/>
      <c r="E3" s="58"/>
      <c r="F3" s="58"/>
      <c r="G3" s="58"/>
      <c r="H3" s="59"/>
    </row>
    <row r="4" spans="2:8" ht="63" customHeight="1" x14ac:dyDescent="0.35">
      <c r="B4" s="242" t="s">
        <v>183</v>
      </c>
      <c r="C4" s="243"/>
      <c r="D4" s="243"/>
      <c r="E4" s="243"/>
      <c r="F4" s="243"/>
      <c r="G4" s="243"/>
      <c r="H4" s="244"/>
    </row>
    <row r="5" spans="2:8" ht="63" customHeight="1" x14ac:dyDescent="0.35">
      <c r="B5" s="245"/>
      <c r="C5" s="246"/>
      <c r="D5" s="246"/>
      <c r="E5" s="246"/>
      <c r="F5" s="246"/>
      <c r="G5" s="246"/>
      <c r="H5" s="247"/>
    </row>
    <row r="6" spans="2:8" x14ac:dyDescent="0.35">
      <c r="B6" s="248" t="s">
        <v>138</v>
      </c>
      <c r="C6" s="249"/>
      <c r="D6" s="249"/>
      <c r="E6" s="249"/>
      <c r="F6" s="249"/>
      <c r="G6" s="249"/>
      <c r="H6" s="250"/>
    </row>
    <row r="7" spans="2:8" ht="95.25" customHeight="1" x14ac:dyDescent="0.35">
      <c r="B7" s="258" t="s">
        <v>143</v>
      </c>
      <c r="C7" s="259"/>
      <c r="D7" s="259"/>
      <c r="E7" s="259"/>
      <c r="F7" s="259"/>
      <c r="G7" s="259"/>
      <c r="H7" s="260"/>
    </row>
    <row r="8" spans="2:8" x14ac:dyDescent="0.35">
      <c r="B8" s="94"/>
      <c r="C8" s="95"/>
      <c r="D8" s="95"/>
      <c r="E8" s="95"/>
      <c r="F8" s="95"/>
      <c r="G8" s="95"/>
      <c r="H8" s="96"/>
    </row>
    <row r="9" spans="2:8" ht="16.5" customHeight="1" x14ac:dyDescent="0.35">
      <c r="B9" s="251" t="s">
        <v>176</v>
      </c>
      <c r="C9" s="252"/>
      <c r="D9" s="252"/>
      <c r="E9" s="252"/>
      <c r="F9" s="252"/>
      <c r="G9" s="252"/>
      <c r="H9" s="253"/>
    </row>
    <row r="10" spans="2:8" ht="44.25" customHeight="1" x14ac:dyDescent="0.35">
      <c r="B10" s="251"/>
      <c r="C10" s="252"/>
      <c r="D10" s="252"/>
      <c r="E10" s="252"/>
      <c r="F10" s="252"/>
      <c r="G10" s="252"/>
      <c r="H10" s="253"/>
    </row>
    <row r="11" spans="2:8" ht="15" thickBot="1" x14ac:dyDescent="0.4">
      <c r="B11" s="82"/>
      <c r="C11" s="85"/>
      <c r="D11" s="90"/>
      <c r="E11" s="91"/>
      <c r="F11" s="91"/>
      <c r="G11" s="92"/>
      <c r="H11" s="93"/>
    </row>
    <row r="12" spans="2:8" ht="15" thickTop="1" x14ac:dyDescent="0.35">
      <c r="B12" s="82"/>
      <c r="C12" s="254" t="s">
        <v>139</v>
      </c>
      <c r="D12" s="255"/>
      <c r="E12" s="256" t="s">
        <v>177</v>
      </c>
      <c r="F12" s="257"/>
      <c r="G12" s="85"/>
      <c r="H12" s="86"/>
    </row>
    <row r="13" spans="2:8" ht="35.25" customHeight="1" x14ac:dyDescent="0.35">
      <c r="B13" s="82"/>
      <c r="C13" s="261" t="s">
        <v>170</v>
      </c>
      <c r="D13" s="262"/>
      <c r="E13" s="263" t="s">
        <v>175</v>
      </c>
      <c r="F13" s="264"/>
      <c r="G13" s="85"/>
      <c r="H13" s="86"/>
    </row>
    <row r="14" spans="2:8" ht="17.25" customHeight="1" x14ac:dyDescent="0.35">
      <c r="B14" s="82"/>
      <c r="C14" s="261" t="s">
        <v>171</v>
      </c>
      <c r="D14" s="262"/>
      <c r="E14" s="263" t="s">
        <v>173</v>
      </c>
      <c r="F14" s="264"/>
      <c r="G14" s="85"/>
      <c r="H14" s="86"/>
    </row>
    <row r="15" spans="2:8" ht="19.5" customHeight="1" x14ac:dyDescent="0.35">
      <c r="B15" s="82"/>
      <c r="C15" s="261" t="s">
        <v>172</v>
      </c>
      <c r="D15" s="262"/>
      <c r="E15" s="263" t="s">
        <v>174</v>
      </c>
      <c r="F15" s="264"/>
      <c r="G15" s="85"/>
      <c r="H15" s="86"/>
    </row>
    <row r="16" spans="2:8" ht="69.75" customHeight="1" x14ac:dyDescent="0.35">
      <c r="B16" s="82"/>
      <c r="C16" s="261" t="s">
        <v>141</v>
      </c>
      <c r="D16" s="262"/>
      <c r="E16" s="263" t="s">
        <v>142</v>
      </c>
      <c r="F16" s="264"/>
      <c r="G16" s="85"/>
      <c r="H16" s="86"/>
    </row>
    <row r="17" spans="2:8" ht="34.5" customHeight="1" x14ac:dyDescent="0.35">
      <c r="B17" s="82"/>
      <c r="C17" s="265" t="s">
        <v>2</v>
      </c>
      <c r="D17" s="266"/>
      <c r="E17" s="267" t="s">
        <v>184</v>
      </c>
      <c r="F17" s="268"/>
      <c r="G17" s="85"/>
      <c r="H17" s="86"/>
    </row>
    <row r="18" spans="2:8" ht="27.75" customHeight="1" x14ac:dyDescent="0.35">
      <c r="B18" s="82"/>
      <c r="C18" s="265" t="s">
        <v>3</v>
      </c>
      <c r="D18" s="266"/>
      <c r="E18" s="267" t="s">
        <v>185</v>
      </c>
      <c r="F18" s="268"/>
      <c r="G18" s="85"/>
      <c r="H18" s="86"/>
    </row>
    <row r="19" spans="2:8" ht="28.5" customHeight="1" x14ac:dyDescent="0.35">
      <c r="B19" s="82"/>
      <c r="C19" s="265" t="s">
        <v>38</v>
      </c>
      <c r="D19" s="266"/>
      <c r="E19" s="267" t="s">
        <v>186</v>
      </c>
      <c r="F19" s="268"/>
      <c r="G19" s="85"/>
      <c r="H19" s="86"/>
    </row>
    <row r="20" spans="2:8" ht="72.75" customHeight="1" x14ac:dyDescent="0.35">
      <c r="B20" s="82"/>
      <c r="C20" s="265" t="s">
        <v>1</v>
      </c>
      <c r="D20" s="266"/>
      <c r="E20" s="267" t="s">
        <v>187</v>
      </c>
      <c r="F20" s="268"/>
      <c r="G20" s="85"/>
      <c r="H20" s="86"/>
    </row>
    <row r="21" spans="2:8" ht="64.5" customHeight="1" x14ac:dyDescent="0.35">
      <c r="B21" s="82"/>
      <c r="C21" s="265" t="s">
        <v>44</v>
      </c>
      <c r="D21" s="266"/>
      <c r="E21" s="267" t="s">
        <v>145</v>
      </c>
      <c r="F21" s="268"/>
      <c r="G21" s="85"/>
      <c r="H21" s="86"/>
    </row>
    <row r="22" spans="2:8" ht="71.25" customHeight="1" x14ac:dyDescent="0.35">
      <c r="B22" s="82"/>
      <c r="C22" s="265" t="s">
        <v>144</v>
      </c>
      <c r="D22" s="266"/>
      <c r="E22" s="267" t="s">
        <v>146</v>
      </c>
      <c r="F22" s="268"/>
      <c r="G22" s="85"/>
      <c r="H22" s="86"/>
    </row>
    <row r="23" spans="2:8" ht="55.5" customHeight="1" x14ac:dyDescent="0.35">
      <c r="B23" s="82"/>
      <c r="C23" s="272" t="s">
        <v>147</v>
      </c>
      <c r="D23" s="273"/>
      <c r="E23" s="267" t="s">
        <v>148</v>
      </c>
      <c r="F23" s="268"/>
      <c r="G23" s="85"/>
      <c r="H23" s="86"/>
    </row>
    <row r="24" spans="2:8" ht="42" customHeight="1" x14ac:dyDescent="0.35">
      <c r="B24" s="82"/>
      <c r="C24" s="272" t="s">
        <v>42</v>
      </c>
      <c r="D24" s="273"/>
      <c r="E24" s="267" t="s">
        <v>149</v>
      </c>
      <c r="F24" s="268"/>
      <c r="G24" s="85"/>
      <c r="H24" s="86"/>
    </row>
    <row r="25" spans="2:8" ht="59.25" customHeight="1" x14ac:dyDescent="0.35">
      <c r="B25" s="82"/>
      <c r="C25" s="272" t="s">
        <v>137</v>
      </c>
      <c r="D25" s="273"/>
      <c r="E25" s="267" t="s">
        <v>150</v>
      </c>
      <c r="F25" s="268"/>
      <c r="G25" s="85"/>
      <c r="H25" s="86"/>
    </row>
    <row r="26" spans="2:8" ht="23.25" customHeight="1" x14ac:dyDescent="0.35">
      <c r="B26" s="82"/>
      <c r="C26" s="272" t="s">
        <v>12</v>
      </c>
      <c r="D26" s="273"/>
      <c r="E26" s="267" t="s">
        <v>151</v>
      </c>
      <c r="F26" s="268"/>
      <c r="G26" s="85"/>
      <c r="H26" s="86"/>
    </row>
    <row r="27" spans="2:8" ht="30.75" customHeight="1" x14ac:dyDescent="0.35">
      <c r="B27" s="82"/>
      <c r="C27" s="272" t="s">
        <v>155</v>
      </c>
      <c r="D27" s="273"/>
      <c r="E27" s="267" t="s">
        <v>152</v>
      </c>
      <c r="F27" s="268"/>
      <c r="G27" s="85"/>
      <c r="H27" s="86"/>
    </row>
    <row r="28" spans="2:8" ht="35.25" customHeight="1" x14ac:dyDescent="0.35">
      <c r="B28" s="82"/>
      <c r="C28" s="272" t="s">
        <v>156</v>
      </c>
      <c r="D28" s="273"/>
      <c r="E28" s="267" t="s">
        <v>153</v>
      </c>
      <c r="F28" s="268"/>
      <c r="G28" s="85"/>
      <c r="H28" s="86"/>
    </row>
    <row r="29" spans="2:8" ht="33" customHeight="1" x14ac:dyDescent="0.35">
      <c r="B29" s="82"/>
      <c r="C29" s="272" t="s">
        <v>156</v>
      </c>
      <c r="D29" s="273"/>
      <c r="E29" s="267" t="s">
        <v>153</v>
      </c>
      <c r="F29" s="268"/>
      <c r="G29" s="85"/>
      <c r="H29" s="86"/>
    </row>
    <row r="30" spans="2:8" ht="30" customHeight="1" x14ac:dyDescent="0.35">
      <c r="B30" s="82"/>
      <c r="C30" s="272" t="s">
        <v>157</v>
      </c>
      <c r="D30" s="273"/>
      <c r="E30" s="267" t="s">
        <v>154</v>
      </c>
      <c r="F30" s="268"/>
      <c r="G30" s="85"/>
      <c r="H30" s="86"/>
    </row>
    <row r="31" spans="2:8" ht="35.25" customHeight="1" x14ac:dyDescent="0.35">
      <c r="B31" s="82"/>
      <c r="C31" s="272" t="s">
        <v>158</v>
      </c>
      <c r="D31" s="273"/>
      <c r="E31" s="267" t="s">
        <v>159</v>
      </c>
      <c r="F31" s="268"/>
      <c r="G31" s="85"/>
      <c r="H31" s="86"/>
    </row>
    <row r="32" spans="2:8" ht="31.5" customHeight="1" x14ac:dyDescent="0.35">
      <c r="B32" s="82"/>
      <c r="C32" s="272" t="s">
        <v>160</v>
      </c>
      <c r="D32" s="273"/>
      <c r="E32" s="267" t="s">
        <v>161</v>
      </c>
      <c r="F32" s="268"/>
      <c r="G32" s="85"/>
      <c r="H32" s="86"/>
    </row>
    <row r="33" spans="2:8" ht="35.25" customHeight="1" x14ac:dyDescent="0.35">
      <c r="B33" s="82"/>
      <c r="C33" s="272" t="s">
        <v>162</v>
      </c>
      <c r="D33" s="273"/>
      <c r="E33" s="267" t="s">
        <v>163</v>
      </c>
      <c r="F33" s="268"/>
      <c r="G33" s="85"/>
      <c r="H33" s="86"/>
    </row>
    <row r="34" spans="2:8" ht="59.25" customHeight="1" x14ac:dyDescent="0.35">
      <c r="B34" s="82"/>
      <c r="C34" s="272" t="s">
        <v>164</v>
      </c>
      <c r="D34" s="273"/>
      <c r="E34" s="267" t="s">
        <v>165</v>
      </c>
      <c r="F34" s="268"/>
      <c r="G34" s="85"/>
      <c r="H34" s="86"/>
    </row>
    <row r="35" spans="2:8" ht="29.25" customHeight="1" x14ac:dyDescent="0.35">
      <c r="B35" s="82"/>
      <c r="C35" s="272" t="s">
        <v>29</v>
      </c>
      <c r="D35" s="273"/>
      <c r="E35" s="267" t="s">
        <v>166</v>
      </c>
      <c r="F35" s="268"/>
      <c r="G35" s="85"/>
      <c r="H35" s="86"/>
    </row>
    <row r="36" spans="2:8" ht="82.5" customHeight="1" x14ac:dyDescent="0.35">
      <c r="B36" s="82"/>
      <c r="C36" s="272" t="s">
        <v>168</v>
      </c>
      <c r="D36" s="273"/>
      <c r="E36" s="267" t="s">
        <v>167</v>
      </c>
      <c r="F36" s="268"/>
      <c r="G36" s="85"/>
      <c r="H36" s="86"/>
    </row>
    <row r="37" spans="2:8" ht="46.5" customHeight="1" x14ac:dyDescent="0.35">
      <c r="B37" s="82"/>
      <c r="C37" s="272" t="s">
        <v>35</v>
      </c>
      <c r="D37" s="273"/>
      <c r="E37" s="267" t="s">
        <v>169</v>
      </c>
      <c r="F37" s="268"/>
      <c r="G37" s="85"/>
      <c r="H37" s="86"/>
    </row>
    <row r="38" spans="2:8" ht="6.75" customHeight="1" thickBot="1" x14ac:dyDescent="0.4">
      <c r="B38" s="82"/>
      <c r="C38" s="274"/>
      <c r="D38" s="275"/>
      <c r="E38" s="276"/>
      <c r="F38" s="277"/>
      <c r="G38" s="85"/>
      <c r="H38" s="86"/>
    </row>
    <row r="39" spans="2:8" ht="15" thickTop="1" x14ac:dyDescent="0.35">
      <c r="B39" s="82"/>
      <c r="C39" s="83"/>
      <c r="D39" s="83"/>
      <c r="E39" s="84"/>
      <c r="F39" s="84"/>
      <c r="G39" s="85"/>
      <c r="H39" s="86"/>
    </row>
    <row r="40" spans="2:8" ht="21" customHeight="1" x14ac:dyDescent="0.35">
      <c r="B40" s="269" t="s">
        <v>178</v>
      </c>
      <c r="C40" s="270"/>
      <c r="D40" s="270"/>
      <c r="E40" s="270"/>
      <c r="F40" s="270"/>
      <c r="G40" s="270"/>
      <c r="H40" s="271"/>
    </row>
    <row r="41" spans="2:8" ht="20.25" customHeight="1" x14ac:dyDescent="0.35">
      <c r="B41" s="269" t="s">
        <v>179</v>
      </c>
      <c r="C41" s="270"/>
      <c r="D41" s="270"/>
      <c r="E41" s="270"/>
      <c r="F41" s="270"/>
      <c r="G41" s="270"/>
      <c r="H41" s="271"/>
    </row>
    <row r="42" spans="2:8" ht="20.25" customHeight="1" x14ac:dyDescent="0.35">
      <c r="B42" s="269" t="s">
        <v>180</v>
      </c>
      <c r="C42" s="270"/>
      <c r="D42" s="270"/>
      <c r="E42" s="270"/>
      <c r="F42" s="270"/>
      <c r="G42" s="270"/>
      <c r="H42" s="271"/>
    </row>
    <row r="43" spans="2:8" ht="20.25" customHeight="1" x14ac:dyDescent="0.35">
      <c r="B43" s="269" t="s">
        <v>181</v>
      </c>
      <c r="C43" s="270"/>
      <c r="D43" s="270"/>
      <c r="E43" s="270"/>
      <c r="F43" s="270"/>
      <c r="G43" s="270"/>
      <c r="H43" s="271"/>
    </row>
    <row r="44" spans="2:8" x14ac:dyDescent="0.35">
      <c r="B44" s="269" t="s">
        <v>182</v>
      </c>
      <c r="C44" s="270"/>
      <c r="D44" s="270"/>
      <c r="E44" s="270"/>
      <c r="F44" s="270"/>
      <c r="G44" s="270"/>
      <c r="H44" s="271"/>
    </row>
    <row r="45" spans="2:8" ht="15" thickBot="1" x14ac:dyDescent="0.4">
      <c r="B45" s="87"/>
      <c r="C45" s="88"/>
      <c r="D45" s="88"/>
      <c r="E45" s="88"/>
      <c r="F45" s="88"/>
      <c r="G45" s="88"/>
      <c r="H45" s="8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48"/>
  <sheetViews>
    <sheetView topLeftCell="A240" zoomScale="60" zoomScaleNormal="60" workbookViewId="0">
      <selection activeCell="O273" sqref="O273"/>
    </sheetView>
  </sheetViews>
  <sheetFormatPr baseColWidth="10" defaultRowHeight="14.5" x14ac:dyDescent="0.35"/>
  <cols>
    <col min="2" max="9" width="5.7265625" customWidth="1"/>
    <col min="10" max="10" width="10.54296875" bestFit="1" customWidth="1"/>
    <col min="11" max="12" width="11" bestFit="1" customWidth="1"/>
    <col min="13" max="13" width="10.54296875" bestFit="1" customWidth="1"/>
    <col min="14" max="15" width="11" bestFit="1" customWidth="1"/>
    <col min="16" max="16" width="10.81640625" customWidth="1"/>
    <col min="17" max="17" width="11" bestFit="1" customWidth="1"/>
    <col min="18" max="18" width="11" customWidth="1"/>
    <col min="19" max="19" width="10.54296875" bestFit="1" customWidth="1"/>
    <col min="20" max="21" width="11" customWidth="1"/>
    <col min="22" max="22" width="10.81640625" bestFit="1" customWidth="1"/>
    <col min="23" max="24" width="9.7265625" customWidth="1"/>
    <col min="26" max="31" width="5.7265625" customWidth="1"/>
  </cols>
  <sheetData>
    <row r="1" spans="1:76" x14ac:dyDescent="0.3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row>
    <row r="2" spans="1:76" ht="18" customHeight="1" x14ac:dyDescent="0.35">
      <c r="A2" s="56"/>
      <c r="B2" s="304" t="s">
        <v>134</v>
      </c>
      <c r="C2" s="305"/>
      <c r="D2" s="305"/>
      <c r="E2" s="305"/>
      <c r="F2" s="305"/>
      <c r="G2" s="305"/>
      <c r="H2" s="305"/>
      <c r="I2" s="305"/>
      <c r="J2" s="306" t="s">
        <v>2</v>
      </c>
      <c r="K2" s="306"/>
      <c r="L2" s="306"/>
      <c r="M2" s="306"/>
      <c r="N2" s="306"/>
      <c r="O2" s="306"/>
      <c r="P2" s="306"/>
      <c r="Q2" s="306"/>
      <c r="R2" s="306"/>
      <c r="S2" s="306"/>
      <c r="T2" s="306"/>
      <c r="U2" s="306"/>
      <c r="V2" s="306"/>
      <c r="W2" s="306"/>
      <c r="X2" s="30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row>
    <row r="3" spans="1:76" ht="18.75" customHeight="1" x14ac:dyDescent="0.35">
      <c r="A3" s="56"/>
      <c r="B3" s="305"/>
      <c r="C3" s="305"/>
      <c r="D3" s="305"/>
      <c r="E3" s="305"/>
      <c r="F3" s="305"/>
      <c r="G3" s="305"/>
      <c r="H3" s="305"/>
      <c r="I3" s="305"/>
      <c r="J3" s="306"/>
      <c r="K3" s="306"/>
      <c r="L3" s="306"/>
      <c r="M3" s="306"/>
      <c r="N3" s="306"/>
      <c r="O3" s="306"/>
      <c r="P3" s="306"/>
      <c r="Q3" s="306"/>
      <c r="R3" s="306"/>
      <c r="S3" s="306"/>
      <c r="T3" s="306"/>
      <c r="U3" s="306"/>
      <c r="V3" s="306"/>
      <c r="W3" s="306"/>
      <c r="X3" s="30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row>
    <row r="4" spans="1:76" ht="15" customHeight="1" x14ac:dyDescent="0.35">
      <c r="A4" s="56"/>
      <c r="B4" s="305"/>
      <c r="C4" s="305"/>
      <c r="D4" s="305"/>
      <c r="E4" s="305"/>
      <c r="F4" s="305"/>
      <c r="G4" s="305"/>
      <c r="H4" s="305"/>
      <c r="I4" s="305"/>
      <c r="J4" s="306"/>
      <c r="K4" s="306"/>
      <c r="L4" s="306"/>
      <c r="M4" s="306"/>
      <c r="N4" s="306"/>
      <c r="O4" s="306"/>
      <c r="P4" s="306"/>
      <c r="Q4" s="306"/>
      <c r="R4" s="306"/>
      <c r="S4" s="306"/>
      <c r="T4" s="306"/>
      <c r="U4" s="306"/>
      <c r="V4" s="306"/>
      <c r="W4" s="306"/>
      <c r="X4" s="30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row>
    <row r="5" spans="1:76" ht="15" thickBo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row>
    <row r="6" spans="1:76" ht="15" customHeight="1" x14ac:dyDescent="0.35">
      <c r="A6" s="56"/>
      <c r="B6" s="307" t="s">
        <v>4</v>
      </c>
      <c r="C6" s="307"/>
      <c r="D6" s="308"/>
      <c r="E6" s="295" t="s">
        <v>107</v>
      </c>
      <c r="F6" s="296"/>
      <c r="G6" s="296"/>
      <c r="H6" s="296"/>
      <c r="I6" s="296"/>
      <c r="J6" s="102" t="str">
        <f>IF(AND('Mapa final'!$AB$7="Muy Alta",'Mapa final'!$AD$7="Leve"),CONCATENATE("R1C",'Mapa final'!$R$7),"")</f>
        <v/>
      </c>
      <c r="K6" s="103" t="str">
        <f>IF(AND('Mapa final'!$AB$8="Muy Alta",'Mapa final'!$AD$8="Leve"),CONCATENATE("R1C",'Mapa final'!$R$8),"")</f>
        <v/>
      </c>
      <c r="L6" s="104" t="str">
        <f>IF(AND('Mapa final'!$AB$9="Muy Alta",'Mapa final'!$AD$9="Leve"),CONCATENATE("R1C",'Mapa final'!$R$9),"")</f>
        <v/>
      </c>
      <c r="M6" s="102" t="str">
        <f>IF(AND('Mapa final'!$AB$7="Muy Alta",'Mapa final'!$AD$7="Menor"),CONCATENATE("R1C",'Mapa final'!$R$7),"")</f>
        <v/>
      </c>
      <c r="N6" s="103" t="str">
        <f>IF(AND('Mapa final'!$AB$8="Muy Alta",'Mapa final'!$AD$8="Menor"),CONCATENATE("R1C",'Mapa final'!$R$8),"")</f>
        <v/>
      </c>
      <c r="O6" s="104" t="str">
        <f>IF(AND('Mapa final'!$AB$9="Muy Alta",'Mapa final'!$AD$9="Menor"),CONCATENATE("R1C",'Mapa final'!$R$9),"")</f>
        <v/>
      </c>
      <c r="P6" s="102" t="str">
        <f>IF(AND('Mapa final'!$AB$7="Muy Alta",'Mapa final'!$AD$7="Moderado"),CONCATENATE("R1C",'Mapa final'!$R$7),"")</f>
        <v/>
      </c>
      <c r="Q6" s="103" t="str">
        <f>IF(AND('Mapa final'!$AB$8="Muy Alta",'Mapa final'!$AD$8="Moderado"),CONCATENATE("R1C",'Mapa final'!$R$8),"")</f>
        <v/>
      </c>
      <c r="R6" s="104" t="str">
        <f>IF(AND('Mapa final'!$AB$9="Muy Alta",'Mapa final'!$AD$9="Moderado"),CONCATENATE("R1C",'Mapa final'!$R$9),"")</f>
        <v/>
      </c>
      <c r="S6" s="102" t="str">
        <f>IF(AND('Mapa final'!$AB$7="Muy Alta",'Mapa final'!$AD$7="Mayor"),CONCATENATE("R1C",'Mapa final'!$R$7),"")</f>
        <v/>
      </c>
      <c r="T6" s="103" t="str">
        <f>IF(AND('Mapa final'!$AB$8="Muy Alta",'Mapa final'!$AD$8="Mayor"),CONCATENATE("R1C",'Mapa final'!$R$8),"")</f>
        <v/>
      </c>
      <c r="U6" s="104" t="str">
        <f>IF(AND('Mapa final'!$AB$9="Muy Alta",'Mapa final'!$AD$9="Mayor"),CONCATENATE("R1C",'Mapa final'!$R$9),"")</f>
        <v/>
      </c>
      <c r="V6" s="40" t="str">
        <f>IF(AND('Mapa final'!$AB$7="Muy Alta",'Mapa final'!$AD$7="Catastrófico"),CONCATENATE("R1C",'Mapa final'!$R$7),"")</f>
        <v/>
      </c>
      <c r="W6" s="41" t="str">
        <f>IF(AND('Mapa final'!$AB$8="Muy Alta",'Mapa final'!$AD$8="Catastrófico"),CONCATENATE("R1C",'Mapa final'!$R$8),"")</f>
        <v/>
      </c>
      <c r="X6" s="99" t="str">
        <f>IF(AND('Mapa final'!$AB$9="Muy Alta",'Mapa final'!$AD$9="Catastrófico"),CONCATENATE("R1C",'Mapa final'!$R$9),"")</f>
        <v/>
      </c>
      <c r="Y6" s="56"/>
      <c r="Z6" s="298" t="s">
        <v>73</v>
      </c>
      <c r="AA6" s="299"/>
      <c r="AB6" s="299"/>
      <c r="AC6" s="299"/>
      <c r="AD6" s="299"/>
      <c r="AE6" s="300"/>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row>
    <row r="7" spans="1:76" ht="15" customHeight="1" x14ac:dyDescent="0.35">
      <c r="A7" s="56"/>
      <c r="B7" s="307"/>
      <c r="C7" s="307"/>
      <c r="D7" s="308"/>
      <c r="E7" s="284"/>
      <c r="F7" s="297"/>
      <c r="G7" s="297"/>
      <c r="H7" s="297"/>
      <c r="I7" s="279"/>
      <c r="J7" s="105" t="str">
        <f>IF(AND('Mapa final'!$AB$10="Muy Alta",'Mapa final'!$AD$10="Leve"),CONCATENATE("R2C",'Mapa final'!$R$10),"")</f>
        <v/>
      </c>
      <c r="K7" s="42" t="str">
        <f>IF(AND('Mapa final'!$AB$11="Muy Alta",'Mapa final'!$AD$11="Leve"),CONCATENATE("R2C",'Mapa final'!$R$11),"")</f>
        <v/>
      </c>
      <c r="L7" s="106" t="str">
        <f>IF(AND('Mapa final'!$AB$12="Muy Alta",'Mapa final'!$AD$12="Leve"),CONCATENATE("R2C",'Mapa final'!$R$12),"")</f>
        <v/>
      </c>
      <c r="M7" s="105" t="str">
        <f>IF(AND('Mapa final'!$AB$10="Muy Alta",'Mapa final'!$AD$10="Menor"),CONCATENATE("R2C",'Mapa final'!$R$10),"")</f>
        <v/>
      </c>
      <c r="N7" s="42" t="str">
        <f>IF(AND('Mapa final'!$AB$11="Muy Alta",'Mapa final'!$AD$11="Menor"),CONCATENATE("R2C",'Mapa final'!$R$11),"")</f>
        <v/>
      </c>
      <c r="O7" s="106" t="str">
        <f>IF(AND('Mapa final'!$AB$12="Muy Alta",'Mapa final'!$AD$12="Menor"),CONCATENATE("R2C",'Mapa final'!$R$12),"")</f>
        <v/>
      </c>
      <c r="P7" s="105" t="str">
        <f>IF(AND('Mapa final'!$AB$10="Muy Alta",'Mapa final'!$AD$10="Moderado"),CONCATENATE("R2C",'Mapa final'!$R$10),"")</f>
        <v/>
      </c>
      <c r="Q7" s="42" t="str">
        <f>IF(AND('Mapa final'!$AB$11="Muy Alta",'Mapa final'!$AD$11="Moderado"),CONCATENATE("R2C",'Mapa final'!$R$11),"")</f>
        <v/>
      </c>
      <c r="R7" s="106" t="str">
        <f>IF(AND('Mapa final'!$AB$12="Muy Alta",'Mapa final'!$AD$12="Moderado"),CONCATENATE("R2C",'Mapa final'!$R$12),"")</f>
        <v/>
      </c>
      <c r="S7" s="105" t="str">
        <f>IF(AND('Mapa final'!$AB$10="Muy Alta",'Mapa final'!$AD$10="Mayor"),CONCATENATE("R2C",'Mapa final'!$R$10),"")</f>
        <v/>
      </c>
      <c r="T7" s="42" t="str">
        <f>IF(AND('Mapa final'!$AB$11="Muy Alta",'Mapa final'!$AD$11="Mayor"),CONCATENATE("R2C",'Mapa final'!$R$11),"")</f>
        <v/>
      </c>
      <c r="U7" s="106" t="str">
        <f>IF(AND('Mapa final'!$AB$12="Muy Alta",'Mapa final'!$AD$12="Mayor"),CONCATENATE("R2C",'Mapa final'!$R$12),"")</f>
        <v/>
      </c>
      <c r="V7" s="43" t="str">
        <f>IF(AND('Mapa final'!$AB$10="Muy Alta",'Mapa final'!$AD$10="Catastrófico"),CONCATENATE("R2C",'Mapa final'!$R$10),"")</f>
        <v/>
      </c>
      <c r="W7" s="44" t="str">
        <f>IF(AND('Mapa final'!$AB$11="Muy Alta",'Mapa final'!$AD$11="Catastrófico"),CONCATENATE("R2C",'Mapa final'!$R$11),"")</f>
        <v/>
      </c>
      <c r="X7" s="100" t="str">
        <f>IF(AND('Mapa final'!$AB$12="Muy Alta",'Mapa final'!$AD$12="Catastrófico"),CONCATENATE("R2C",'Mapa final'!$R$12),"")</f>
        <v/>
      </c>
      <c r="Y7" s="56"/>
      <c r="Z7" s="301"/>
      <c r="AA7" s="302"/>
      <c r="AB7" s="302"/>
      <c r="AC7" s="302"/>
      <c r="AD7" s="302"/>
      <c r="AE7" s="303"/>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row>
    <row r="8" spans="1:76" ht="15" customHeight="1" x14ac:dyDescent="0.35">
      <c r="A8" s="56"/>
      <c r="B8" s="307"/>
      <c r="C8" s="307"/>
      <c r="D8" s="308"/>
      <c r="E8" s="284"/>
      <c r="F8" s="297"/>
      <c r="G8" s="297"/>
      <c r="H8" s="297"/>
      <c r="I8" s="279"/>
      <c r="J8" s="105" t="str">
        <f>IF(AND('Mapa final'!$AB$13="Muy Alta",'Mapa final'!$AD$13="Leve"),CONCATENATE("R3C",'Mapa final'!$R$13),"")</f>
        <v/>
      </c>
      <c r="K8" s="42" t="str">
        <f>IF(AND('Mapa final'!$AB$14="Muy Alta",'Mapa final'!$AD$14="Leve"),CONCATENATE("R3C",'Mapa final'!$R$14),"")</f>
        <v/>
      </c>
      <c r="L8" s="106" t="str">
        <f>IF(AND('Mapa final'!$AB$15="Muy Alta",'Mapa final'!$AD$15="Leve"),CONCATENATE("R3C",'Mapa final'!$R$15),"")</f>
        <v/>
      </c>
      <c r="M8" s="105" t="str">
        <f>IF(AND('Mapa final'!$AB$13="Muy Alta",'Mapa final'!$AD$13="Menor"),CONCATENATE("R3C",'Mapa final'!$R$13),"")</f>
        <v/>
      </c>
      <c r="N8" s="42" t="str">
        <f>IF(AND('Mapa final'!$AB$14="Muy Alta",'Mapa final'!$AD$14="Menor"),CONCATENATE("R3C",'Mapa final'!$R$14),"")</f>
        <v/>
      </c>
      <c r="O8" s="106" t="str">
        <f>IF(AND('Mapa final'!$AB$15="Muy Alta",'Mapa final'!$AD$15="Menor"),CONCATENATE("R3C",'Mapa final'!$R$15),"")</f>
        <v/>
      </c>
      <c r="P8" s="105" t="str">
        <f>IF(AND('Mapa final'!$AB$13="Muy Alta",'Mapa final'!$AD$13="Moderado"),CONCATENATE("R3C",'Mapa final'!$R$13),"")</f>
        <v/>
      </c>
      <c r="Q8" s="42" t="str">
        <f>IF(AND('Mapa final'!$AB$14="Muy Alta",'Mapa final'!$AD$14="Moderado"),CONCATENATE("R3C",'Mapa final'!$R$14),"")</f>
        <v/>
      </c>
      <c r="R8" s="106" t="str">
        <f>IF(AND('Mapa final'!$AB$15="Muy Alta",'Mapa final'!$AD$15="Moderado"),CONCATENATE("R3C",'Mapa final'!$R$15),"")</f>
        <v/>
      </c>
      <c r="S8" s="105" t="str">
        <f>IF(AND('Mapa final'!$AB$13="Muy Alta",'Mapa final'!$AD$13="Mayor"),CONCATENATE("R3C",'Mapa final'!$R$13),"")</f>
        <v/>
      </c>
      <c r="T8" s="42" t="str">
        <f>IF(AND('Mapa final'!$AB$14="Muy Alta",'Mapa final'!$AD$14="Mayor"),CONCATENATE("R3C",'Mapa final'!$R$14),"")</f>
        <v/>
      </c>
      <c r="U8" s="106" t="str">
        <f>IF(AND('Mapa final'!$AB$15="Muy Alta",'Mapa final'!$AD$15="Mayor"),CONCATENATE("R3C",'Mapa final'!$R$15),"")</f>
        <v/>
      </c>
      <c r="V8" s="43" t="str">
        <f>IF(AND('Mapa final'!$AB$13="Muy Alta",'Mapa final'!$AD$13="Catastrófico"),CONCATENATE("R3C",'Mapa final'!$R$13),"")</f>
        <v/>
      </c>
      <c r="W8" s="44" t="str">
        <f>IF(AND('Mapa final'!$AB$14="Muy Alta",'Mapa final'!$AD$14="Catastrófico"),CONCATENATE("R3C",'Mapa final'!$R$14),"")</f>
        <v/>
      </c>
      <c r="X8" s="100" t="str">
        <f>IF(AND('Mapa final'!$AB$15="Muy Alta",'Mapa final'!$AD$15="Catastrófico"),CONCATENATE("R3C",'Mapa final'!$R$15),"")</f>
        <v/>
      </c>
      <c r="Y8" s="56"/>
      <c r="Z8" s="301"/>
      <c r="AA8" s="302"/>
      <c r="AB8" s="302"/>
      <c r="AC8" s="302"/>
      <c r="AD8" s="302"/>
      <c r="AE8" s="303"/>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row>
    <row r="9" spans="1:76" ht="15" customHeight="1" x14ac:dyDescent="0.35">
      <c r="A9" s="56"/>
      <c r="B9" s="307"/>
      <c r="C9" s="307"/>
      <c r="D9" s="308"/>
      <c r="E9" s="284"/>
      <c r="F9" s="297"/>
      <c r="G9" s="297"/>
      <c r="H9" s="297"/>
      <c r="I9" s="279"/>
      <c r="J9" s="105" t="e">
        <f>IF(AND('Mapa final'!#REF!="Muy Alta",'Mapa final'!#REF!="Leve"),CONCATENATE("R4C",'Mapa final'!#REF!),"")</f>
        <v>#REF!</v>
      </c>
      <c r="K9" s="42" t="e">
        <f>IF(AND('Mapa final'!#REF!="Muy Alta",'Mapa final'!#REF!="Leve"),CONCATENATE("R4C",'Mapa final'!#REF!),"")</f>
        <v>#REF!</v>
      </c>
      <c r="L9" s="106" t="e">
        <f>IF(AND('Mapa final'!#REF!="Muy Alta",'Mapa final'!#REF!="Leve"),CONCATENATE("R4C",'Mapa final'!#REF!),"")</f>
        <v>#REF!</v>
      </c>
      <c r="M9" s="105" t="e">
        <f>IF(AND('Mapa final'!#REF!="Muy Alta",'Mapa final'!#REF!="Menor"),CONCATENATE("R4C",'Mapa final'!#REF!),"")</f>
        <v>#REF!</v>
      </c>
      <c r="N9" s="42" t="e">
        <f>IF(AND('Mapa final'!#REF!="Muy Alta",'Mapa final'!#REF!="Menor"),CONCATENATE("R4C",'Mapa final'!#REF!),"")</f>
        <v>#REF!</v>
      </c>
      <c r="O9" s="106" t="e">
        <f>IF(AND('Mapa final'!#REF!="Muy Alta",'Mapa final'!#REF!="Menor"),CONCATENATE("R4C",'Mapa final'!#REF!),"")</f>
        <v>#REF!</v>
      </c>
      <c r="P9" s="105" t="e">
        <f>IF(AND('Mapa final'!#REF!="Muy Alta",'Mapa final'!#REF!="Moderado"),CONCATENATE("R4C",'Mapa final'!#REF!),"")</f>
        <v>#REF!</v>
      </c>
      <c r="Q9" s="42" t="e">
        <f>IF(AND('Mapa final'!#REF!="Muy Alta",'Mapa final'!#REF!="Moderado"),CONCATENATE("R4C",'Mapa final'!#REF!),"")</f>
        <v>#REF!</v>
      </c>
      <c r="R9" s="106" t="e">
        <f>IF(AND('Mapa final'!#REF!="Muy Alta",'Mapa final'!#REF!="Moderado"),CONCATENATE("R4C",'Mapa final'!#REF!),"")</f>
        <v>#REF!</v>
      </c>
      <c r="S9" s="105" t="e">
        <f>IF(AND('Mapa final'!#REF!="Muy Alta",'Mapa final'!#REF!="Mayor"),CONCATENATE("R4C",'Mapa final'!#REF!),"")</f>
        <v>#REF!</v>
      </c>
      <c r="T9" s="42" t="e">
        <f>IF(AND('Mapa final'!#REF!="Muy Alta",'Mapa final'!#REF!="Mayor"),CONCATENATE("R4C",'Mapa final'!#REF!),"")</f>
        <v>#REF!</v>
      </c>
      <c r="U9" s="106" t="e">
        <f>IF(AND('Mapa final'!#REF!="Muy Alta",'Mapa final'!#REF!="Mayor"),CONCATENATE("R4C",'Mapa final'!#REF!),"")</f>
        <v>#REF!</v>
      </c>
      <c r="V9" s="43" t="e">
        <f>IF(AND('Mapa final'!#REF!="Muy Alta",'Mapa final'!#REF!="Catastrófico"),CONCATENATE("R4C",'Mapa final'!#REF!),"")</f>
        <v>#REF!</v>
      </c>
      <c r="W9" s="44" t="e">
        <f>IF(AND('Mapa final'!#REF!="Muy Alta",'Mapa final'!#REF!="Catastrófico"),CONCATENATE("R4C",'Mapa final'!#REF!),"")</f>
        <v>#REF!</v>
      </c>
      <c r="X9" s="100" t="e">
        <f>IF(AND('Mapa final'!#REF!="Muy Alta",'Mapa final'!#REF!="Catastrófico"),CONCATENATE("R4C",'Mapa final'!#REF!),"")</f>
        <v>#REF!</v>
      </c>
      <c r="Y9" s="56"/>
      <c r="Z9" s="301"/>
      <c r="AA9" s="302"/>
      <c r="AB9" s="302"/>
      <c r="AC9" s="302"/>
      <c r="AD9" s="302"/>
      <c r="AE9" s="303"/>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row>
    <row r="10" spans="1:76" ht="15" customHeight="1" x14ac:dyDescent="0.35">
      <c r="A10" s="56"/>
      <c r="B10" s="307"/>
      <c r="C10" s="307"/>
      <c r="D10" s="308"/>
      <c r="E10" s="284"/>
      <c r="F10" s="297"/>
      <c r="G10" s="297"/>
      <c r="H10" s="297"/>
      <c r="I10" s="279"/>
      <c r="J10" s="105" t="e">
        <f>IF(AND('Mapa final'!#REF!="Muy Alta",'Mapa final'!#REF!="Leve"),CONCATENATE("R5C",'Mapa final'!#REF!),"")</f>
        <v>#REF!</v>
      </c>
      <c r="K10" s="42" t="e">
        <f>IF(AND('Mapa final'!#REF!="Muy Alta",'Mapa final'!#REF!="Leve"),CONCATENATE("R5C",'Mapa final'!#REF!),"")</f>
        <v>#REF!</v>
      </c>
      <c r="L10" s="106" t="e">
        <f>IF(AND('Mapa final'!#REF!="Muy Alta",'Mapa final'!#REF!="Leve"),CONCATENATE("R5C",'Mapa final'!#REF!),"")</f>
        <v>#REF!</v>
      </c>
      <c r="M10" s="105" t="e">
        <f>IF(AND('Mapa final'!#REF!="Muy Alta",'Mapa final'!#REF!="Menor"),CONCATENATE("R5C",'Mapa final'!#REF!),"")</f>
        <v>#REF!</v>
      </c>
      <c r="N10" s="42" t="e">
        <f>IF(AND('Mapa final'!#REF!="Muy Alta",'Mapa final'!#REF!="Menor"),CONCATENATE("R5C",'Mapa final'!#REF!),"")</f>
        <v>#REF!</v>
      </c>
      <c r="O10" s="106" t="e">
        <f>IF(AND('Mapa final'!#REF!="Muy Alta",'Mapa final'!#REF!="Menor"),CONCATENATE("R5C",'Mapa final'!#REF!),"")</f>
        <v>#REF!</v>
      </c>
      <c r="P10" s="105" t="e">
        <f>IF(AND('Mapa final'!#REF!="Muy Alta",'Mapa final'!#REF!="Moderado"),CONCATENATE("R5C",'Mapa final'!#REF!),"")</f>
        <v>#REF!</v>
      </c>
      <c r="Q10" s="42" t="e">
        <f>IF(AND('Mapa final'!#REF!="Muy Alta",'Mapa final'!#REF!="Moderado"),CONCATENATE("R5C",'Mapa final'!#REF!),"")</f>
        <v>#REF!</v>
      </c>
      <c r="R10" s="106" t="e">
        <f>IF(AND('Mapa final'!#REF!="Muy Alta",'Mapa final'!#REF!="Moderado"),CONCATENATE("R5C",'Mapa final'!#REF!),"")</f>
        <v>#REF!</v>
      </c>
      <c r="S10" s="105" t="e">
        <f>IF(AND('Mapa final'!#REF!="Muy Alta",'Mapa final'!#REF!="Mayor"),CONCATENATE("R5C",'Mapa final'!#REF!),"")</f>
        <v>#REF!</v>
      </c>
      <c r="T10" s="42" t="e">
        <f>IF(AND('Mapa final'!#REF!="Muy Alta",'Mapa final'!#REF!="Mayor"),CONCATENATE("R5C",'Mapa final'!#REF!),"")</f>
        <v>#REF!</v>
      </c>
      <c r="U10" s="106" t="e">
        <f>IF(AND('Mapa final'!#REF!="Muy Alta",'Mapa final'!#REF!="Mayor"),CONCATENATE("R5C",'Mapa final'!#REF!),"")</f>
        <v>#REF!</v>
      </c>
      <c r="V10" s="43" t="e">
        <f>IF(AND('Mapa final'!#REF!="Muy Alta",'Mapa final'!#REF!="Catastrófico"),CONCATENATE("R5C",'Mapa final'!#REF!),"")</f>
        <v>#REF!</v>
      </c>
      <c r="W10" s="44" t="e">
        <f>IF(AND('Mapa final'!#REF!="Muy Alta",'Mapa final'!#REF!="Catastrófico"),CONCATENATE("R5C",'Mapa final'!#REF!),"")</f>
        <v>#REF!</v>
      </c>
      <c r="X10" s="100" t="e">
        <f>IF(AND('Mapa final'!#REF!="Muy Alta",'Mapa final'!#REF!="Catastrófico"),CONCATENATE("R5C",'Mapa final'!#REF!),"")</f>
        <v>#REF!</v>
      </c>
      <c r="Y10" s="56"/>
      <c r="Z10" s="301"/>
      <c r="AA10" s="302"/>
      <c r="AB10" s="302"/>
      <c r="AC10" s="302"/>
      <c r="AD10" s="302"/>
      <c r="AE10" s="303"/>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row>
    <row r="11" spans="1:76" ht="15" customHeight="1" x14ac:dyDescent="0.35">
      <c r="A11" s="56"/>
      <c r="B11" s="307"/>
      <c r="C11" s="307"/>
      <c r="D11" s="308"/>
      <c r="E11" s="284"/>
      <c r="F11" s="297"/>
      <c r="G11" s="297"/>
      <c r="H11" s="297"/>
      <c r="I11" s="279"/>
      <c r="J11" s="105" t="str">
        <f>IF(AND('Mapa final'!$AB$16="Muy Alta",'Mapa final'!$AD$16="Leve"),CONCATENATE("R6C",'Mapa final'!$R$16),"")</f>
        <v/>
      </c>
      <c r="K11" s="42" t="str">
        <f>IF(AND('Mapa final'!$AB$17="Muy Alta",'Mapa final'!$AD$17="Leve"),CONCATENATE("R6C",'Mapa final'!$R$17),"")</f>
        <v/>
      </c>
      <c r="L11" s="106" t="str">
        <f>IF(AND('Mapa final'!$AB$18="Muy Alta",'Mapa final'!$AD$18="Leve"),CONCATENATE("R6C",'Mapa final'!$R$18),"")</f>
        <v/>
      </c>
      <c r="M11" s="105" t="str">
        <f>IF(AND('Mapa final'!$AB$16="Muy Alta",'Mapa final'!$AD$16="Menor"),CONCATENATE("R6C",'Mapa final'!$R$16),"")</f>
        <v/>
      </c>
      <c r="N11" s="42" t="str">
        <f>IF(AND('Mapa final'!$AB$17="Muy Alta",'Mapa final'!$AD$17="Menor"),CONCATENATE("R6C",'Mapa final'!$R$17),"")</f>
        <v/>
      </c>
      <c r="O11" s="106" t="str">
        <f>IF(AND('Mapa final'!$AB$18="Muy Alta",'Mapa final'!$AD$18="Menor"),CONCATENATE("R6C",'Mapa final'!$R$18),"")</f>
        <v/>
      </c>
      <c r="P11" s="105" t="str">
        <f>IF(AND('Mapa final'!$AB$16="Muy Alta",'Mapa final'!$AD$16="Moderado"),CONCATENATE("R6C",'Mapa final'!$R$16),"")</f>
        <v/>
      </c>
      <c r="Q11" s="42" t="str">
        <f>IF(AND('Mapa final'!$AB$17="Muy Alta",'Mapa final'!$AD$17="Moderado"),CONCATENATE("R6C",'Mapa final'!$R$17),"")</f>
        <v/>
      </c>
      <c r="R11" s="106" t="str">
        <f>IF(AND('Mapa final'!$AB$18="Muy Alta",'Mapa final'!$AD$18="Moderado"),CONCATENATE("R6C",'Mapa final'!$R$18),"")</f>
        <v/>
      </c>
      <c r="S11" s="105" t="str">
        <f>IF(AND('Mapa final'!$AB$16="Muy Alta",'Mapa final'!$AD$16="Mayor"),CONCATENATE("R6C",'Mapa final'!$R$16),"")</f>
        <v/>
      </c>
      <c r="T11" s="42" t="str">
        <f>IF(AND('Mapa final'!$AB$17="Muy Alta",'Mapa final'!$AD$17="Mayor"),CONCATENATE("R6C",'Mapa final'!$R$17),"")</f>
        <v/>
      </c>
      <c r="U11" s="106" t="str">
        <f>IF(AND('Mapa final'!$AB$18="Muy Alta",'Mapa final'!$AD$18="Mayor"),CONCATENATE("R6C",'Mapa final'!$R$18),"")</f>
        <v/>
      </c>
      <c r="V11" s="43" t="str">
        <f>IF(AND('Mapa final'!$AB$16="Muy Alta",'Mapa final'!$AD$16="Catastrófico"),CONCATENATE("R6C",'Mapa final'!$R$16),"")</f>
        <v/>
      </c>
      <c r="W11" s="44" t="str">
        <f>IF(AND('Mapa final'!$AB$17="Muy Alta",'Mapa final'!$AD$17="Catastrófico"),CONCATENATE("R6C",'Mapa final'!$R$17),"")</f>
        <v/>
      </c>
      <c r="X11" s="100" t="str">
        <f>IF(AND('Mapa final'!$AB$18="Muy Alta",'Mapa final'!$AD$18="Catastrófico"),CONCATENATE("R6C",'Mapa final'!$R$18),"")</f>
        <v/>
      </c>
      <c r="Y11" s="56"/>
      <c r="Z11" s="301"/>
      <c r="AA11" s="302"/>
      <c r="AB11" s="302"/>
      <c r="AC11" s="302"/>
      <c r="AD11" s="302"/>
      <c r="AE11" s="303"/>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row>
    <row r="12" spans="1:76" ht="15" customHeight="1" x14ac:dyDescent="0.35">
      <c r="A12" s="56"/>
      <c r="B12" s="307"/>
      <c r="C12" s="307"/>
      <c r="D12" s="308"/>
      <c r="E12" s="284"/>
      <c r="F12" s="297"/>
      <c r="G12" s="297"/>
      <c r="H12" s="297"/>
      <c r="I12" s="279"/>
      <c r="J12" s="105" t="str">
        <f>IF(AND('Mapa final'!$AB$19="Muy Alta",'Mapa final'!$AD$19="Leve"),CONCATENATE("R7C",'Mapa final'!$R$19),"")</f>
        <v/>
      </c>
      <c r="K12" s="42" t="str">
        <f>IF(AND('Mapa final'!$AB$20="Muy Alta",'Mapa final'!$AD$20="Leve"),CONCATENATE("R7C",'Mapa final'!$R$20),"")</f>
        <v/>
      </c>
      <c r="L12" s="106" t="str">
        <f>IF(AND('Mapa final'!$AB$21="Muy Alta",'Mapa final'!$AD$21="Leve"),CONCATENATE("R7C",'Mapa final'!$R$21),"")</f>
        <v/>
      </c>
      <c r="M12" s="105" t="str">
        <f>IF(AND('Mapa final'!$AB$19="Muy Alta",'Mapa final'!$AD$19="Menor"),CONCATENATE("R7C",'Mapa final'!$R$19),"")</f>
        <v/>
      </c>
      <c r="N12" s="42" t="str">
        <f>IF(AND('Mapa final'!$AB$20="Muy Alta",'Mapa final'!$AD$20="Menor"),CONCATENATE("R7C",'Mapa final'!$R$20),"")</f>
        <v/>
      </c>
      <c r="O12" s="106" t="str">
        <f>IF(AND('Mapa final'!$AB$21="Muy Alta",'Mapa final'!$AD$21="Menor"),CONCATENATE("R7C",'Mapa final'!$R$21),"")</f>
        <v/>
      </c>
      <c r="P12" s="105" t="str">
        <f>IF(AND('Mapa final'!$AB$19="Muy Alta",'Mapa final'!$AD$19="Moderado"),CONCATENATE("R7C",'Mapa final'!$R$19),"")</f>
        <v/>
      </c>
      <c r="Q12" s="42" t="str">
        <f>IF(AND('Mapa final'!$AB$20="Muy Alta",'Mapa final'!$AD$20="Moderado"),CONCATENATE("R7C",'Mapa final'!$R$20),"")</f>
        <v/>
      </c>
      <c r="R12" s="106" t="str">
        <f>IF(AND('Mapa final'!$AB$21="Muy Alta",'Mapa final'!$AD$21="Moderado"),CONCATENATE("R7C",'Mapa final'!$R$21),"")</f>
        <v/>
      </c>
      <c r="S12" s="105" t="str">
        <f>IF(AND('Mapa final'!$AB$19="Muy Alta",'Mapa final'!$AD$19="Mayor"),CONCATENATE("R7C",'Mapa final'!$R$19),"")</f>
        <v/>
      </c>
      <c r="T12" s="42" t="str">
        <f>IF(AND('Mapa final'!$AB$20="Muy Alta",'Mapa final'!$AD$20="Mayor"),CONCATENATE("R7C",'Mapa final'!$R$20),"")</f>
        <v/>
      </c>
      <c r="U12" s="106" t="str">
        <f>IF(AND('Mapa final'!$AB$21="Muy Alta",'Mapa final'!$AD$21="Mayor"),CONCATENATE("R7C",'Mapa final'!$R$21),"")</f>
        <v/>
      </c>
      <c r="V12" s="43" t="str">
        <f>IF(AND('Mapa final'!$AB$19="Muy Alta",'Mapa final'!$AD$19="Catastrófico"),CONCATENATE("R7C",'Mapa final'!$R$19),"")</f>
        <v/>
      </c>
      <c r="W12" s="44" t="str">
        <f>IF(AND('Mapa final'!$AB$20="Muy Alta",'Mapa final'!$AD$20="Catastrófico"),CONCATENATE("R7C",'Mapa final'!$R$20),"")</f>
        <v/>
      </c>
      <c r="X12" s="100" t="str">
        <f>IF(AND('Mapa final'!$AB$21="Muy Alta",'Mapa final'!$AD$21="Catastrófico"),CONCATENATE("R7C",'Mapa final'!$R$21),"")</f>
        <v/>
      </c>
      <c r="Y12" s="56"/>
      <c r="Z12" s="301"/>
      <c r="AA12" s="302"/>
      <c r="AB12" s="302"/>
      <c r="AC12" s="302"/>
      <c r="AD12" s="302"/>
      <c r="AE12" s="303"/>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row>
    <row r="13" spans="1:76" ht="15" customHeight="1" x14ac:dyDescent="0.35">
      <c r="A13" s="56"/>
      <c r="B13" s="307"/>
      <c r="C13" s="307"/>
      <c r="D13" s="308"/>
      <c r="E13" s="284"/>
      <c r="F13" s="297"/>
      <c r="G13" s="297"/>
      <c r="H13" s="297"/>
      <c r="I13" s="279"/>
      <c r="J13" s="105" t="str">
        <f>IF(AND('Mapa final'!$AB$22="Muy Alta",'Mapa final'!$AD$22="Leve"),CONCATENATE("R8C",'Mapa final'!$R$22),"")</f>
        <v/>
      </c>
      <c r="K13" s="42" t="str">
        <f>IF(AND('Mapa final'!$AB$23="Muy Alta",'Mapa final'!$AD$23="Leve"),CONCATENATE("R8C",'Mapa final'!$R$23),"")</f>
        <v/>
      </c>
      <c r="L13" s="106" t="str">
        <f>IF(AND('Mapa final'!$AB$24="Muy Alta",'Mapa final'!$AD$24="Leve"),CONCATENATE("R8C",'Mapa final'!$R$24),"")</f>
        <v/>
      </c>
      <c r="M13" s="105" t="str">
        <f>IF(AND('Mapa final'!$AB$22="Muy Alta",'Mapa final'!$AD$22="Menor"),CONCATENATE("R8C",'Mapa final'!$R$22),"")</f>
        <v/>
      </c>
      <c r="N13" s="42" t="str">
        <f>IF(AND('Mapa final'!$AB$23="Muy Alta",'Mapa final'!$AD$23="Menor"),CONCATENATE("R8C",'Mapa final'!$R$23),"")</f>
        <v/>
      </c>
      <c r="O13" s="106" t="str">
        <f>IF(AND('Mapa final'!$AB$24="Muy Alta",'Mapa final'!$AD$24="Menor"),CONCATENATE("R8C",'Mapa final'!$R$24),"")</f>
        <v/>
      </c>
      <c r="P13" s="105" t="str">
        <f>IF(AND('Mapa final'!$AB$22="Muy Alta",'Mapa final'!$AD$22="Moderado"),CONCATENATE("R8C",'Mapa final'!$R$22),"")</f>
        <v/>
      </c>
      <c r="Q13" s="42" t="str">
        <f>IF(AND('Mapa final'!$AB$23="Muy Alta",'Mapa final'!$AD$23="Moderado"),CONCATENATE("R8C",'Mapa final'!$R$23),"")</f>
        <v/>
      </c>
      <c r="R13" s="106" t="str">
        <f>IF(AND('Mapa final'!$AB$24="Muy Alta",'Mapa final'!$AD$24="Moderado"),CONCATENATE("R8C",'Mapa final'!$R$24),"")</f>
        <v/>
      </c>
      <c r="S13" s="105" t="str">
        <f>IF(AND('Mapa final'!$AB$22="Muy Alta",'Mapa final'!$AD$22="Mayor"),CONCATENATE("R8C",'Mapa final'!$R$22),"")</f>
        <v/>
      </c>
      <c r="T13" s="42" t="str">
        <f>IF(AND('Mapa final'!$AB$23="Muy Alta",'Mapa final'!$AD$23="Mayor"),CONCATENATE("R8C",'Mapa final'!$R$23),"")</f>
        <v/>
      </c>
      <c r="U13" s="106" t="str">
        <f>IF(AND('Mapa final'!$AB$24="Muy Alta",'Mapa final'!$AD$24="Mayor"),CONCATENATE("R8C",'Mapa final'!$R$24),"")</f>
        <v/>
      </c>
      <c r="V13" s="43" t="str">
        <f>IF(AND('Mapa final'!$AB$22="Muy Alta",'Mapa final'!$AD$22="Catastrófico"),CONCATENATE("R8C",'Mapa final'!$R$22),"")</f>
        <v/>
      </c>
      <c r="W13" s="44" t="str">
        <f>IF(AND('Mapa final'!$AB$23="Muy Alta",'Mapa final'!$AD$23="Catastrófico"),CONCATENATE("R8C",'Mapa final'!$R$23),"")</f>
        <v/>
      </c>
      <c r="X13" s="100" t="str">
        <f>IF(AND('Mapa final'!$AB$24="Muy Alta",'Mapa final'!$AD$24="Catastrófico"),CONCATENATE("R8C",'Mapa final'!$R$24),"")</f>
        <v/>
      </c>
      <c r="Y13" s="56"/>
      <c r="Z13" s="301"/>
      <c r="AA13" s="302"/>
      <c r="AB13" s="302"/>
      <c r="AC13" s="302"/>
      <c r="AD13" s="302"/>
      <c r="AE13" s="303"/>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row>
    <row r="14" spans="1:76" ht="15" customHeight="1" x14ac:dyDescent="0.35">
      <c r="A14" s="56"/>
      <c r="B14" s="307"/>
      <c r="C14" s="307"/>
      <c r="D14" s="308"/>
      <c r="E14" s="284"/>
      <c r="F14" s="297"/>
      <c r="G14" s="297"/>
      <c r="H14" s="297"/>
      <c r="I14" s="279"/>
      <c r="J14" s="105" t="str">
        <f>IF(AND('Mapa final'!$AB$25="Muy Alta",'Mapa final'!$AD$25="Leve"),CONCATENATE("R9C",'Mapa final'!$R$25),"")</f>
        <v/>
      </c>
      <c r="K14" s="42" t="str">
        <f>IF(AND('Mapa final'!$AB$26="Muy Alta",'Mapa final'!$AD$26="Leve"),CONCATENATE("R9C",'Mapa final'!$R$26),"")</f>
        <v/>
      </c>
      <c r="L14" s="106" t="str">
        <f>IF(AND('Mapa final'!$AB$27="Muy Alta",'Mapa final'!$AD$27="Leve"),CONCATENATE("R9C",'Mapa final'!$R$27),"")</f>
        <v/>
      </c>
      <c r="M14" s="105" t="str">
        <f>IF(AND('Mapa final'!$AB$25="Muy Alta",'Mapa final'!$AD$25="Menor"),CONCATENATE("R9C",'Mapa final'!$R$25),"")</f>
        <v/>
      </c>
      <c r="N14" s="42" t="str">
        <f>IF(AND('Mapa final'!$AB$26="Muy Alta",'Mapa final'!$AD$26="Menor"),CONCATENATE("R9C",'Mapa final'!$R$26),"")</f>
        <v/>
      </c>
      <c r="O14" s="106" t="str">
        <f>IF(AND('Mapa final'!$AB$27="Muy Alta",'Mapa final'!$AD$27="Menor"),CONCATENATE("R9C",'Mapa final'!$R$27),"")</f>
        <v/>
      </c>
      <c r="P14" s="105" t="str">
        <f>IF(AND('Mapa final'!$AB$25="Muy Alta",'Mapa final'!$AD$25="Moderado"),CONCATENATE("R9C",'Mapa final'!$R$25),"")</f>
        <v/>
      </c>
      <c r="Q14" s="42" t="str">
        <f>IF(AND('Mapa final'!$AB$26="Muy Alta",'Mapa final'!$AD$26="Moderado"),CONCATENATE("R9C",'Mapa final'!$R$26),"")</f>
        <v/>
      </c>
      <c r="R14" s="106" t="str">
        <f>IF(AND('Mapa final'!$AB$27="Muy Alta",'Mapa final'!$AD$27="Moderado"),CONCATENATE("R9C",'Mapa final'!$R$27),"")</f>
        <v/>
      </c>
      <c r="S14" s="105" t="str">
        <f>IF(AND('Mapa final'!$AB$25="Muy Alta",'Mapa final'!$AD$25="Mayor"),CONCATENATE("R9C",'Mapa final'!$R$25),"")</f>
        <v/>
      </c>
      <c r="T14" s="42" t="str">
        <f>IF(AND('Mapa final'!$AB$26="Muy Alta",'Mapa final'!$AD$26="Mayor"),CONCATENATE("R9C",'Mapa final'!$R$26),"")</f>
        <v/>
      </c>
      <c r="U14" s="106" t="str">
        <f>IF(AND('Mapa final'!$AB$27="Muy Alta",'Mapa final'!$AD$27="Mayor"),CONCATENATE("R9C",'Mapa final'!$R$27),"")</f>
        <v/>
      </c>
      <c r="V14" s="43" t="str">
        <f>IF(AND('Mapa final'!$AB$25="Muy Alta",'Mapa final'!$AD$25="Catastrófico"),CONCATENATE("R9C",'Mapa final'!$R$25),"")</f>
        <v/>
      </c>
      <c r="W14" s="44" t="str">
        <f>IF(AND('Mapa final'!$AB$26="Muy Alta",'Mapa final'!$AD$26="Catastrófico"),CONCATENATE("R9C",'Mapa final'!$R$26),"")</f>
        <v/>
      </c>
      <c r="X14" s="100" t="str">
        <f>IF(AND('Mapa final'!$AB$27="Muy Alta",'Mapa final'!$AD$27="Catastrófico"),CONCATENATE("R9C",'Mapa final'!$R$27),"")</f>
        <v/>
      </c>
      <c r="Y14" s="56"/>
      <c r="Z14" s="301"/>
      <c r="AA14" s="302"/>
      <c r="AB14" s="302"/>
      <c r="AC14" s="302"/>
      <c r="AD14" s="302"/>
      <c r="AE14" s="303"/>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row>
    <row r="15" spans="1:76" ht="15" customHeight="1" x14ac:dyDescent="0.35">
      <c r="A15" s="56"/>
      <c r="B15" s="307"/>
      <c r="C15" s="307"/>
      <c r="D15" s="308"/>
      <c r="E15" s="284"/>
      <c r="F15" s="297"/>
      <c r="G15" s="297"/>
      <c r="H15" s="297"/>
      <c r="I15" s="279"/>
      <c r="J15" s="105" t="str">
        <f>IF(AND('Mapa final'!$AB$28="Muy Alta",'Mapa final'!$AD$28="Leve"),CONCATENATE("R10C",'Mapa final'!$R$28),"")</f>
        <v/>
      </c>
      <c r="K15" s="42" t="str">
        <f>IF(AND('Mapa final'!$AB$29="Muy Alta",'Mapa final'!$AD$29="Leve"),CONCATENATE("R10C",'Mapa final'!$R$29),"")</f>
        <v/>
      </c>
      <c r="L15" s="106" t="str">
        <f>IF(AND('Mapa final'!$AB$30="Muy Alta",'Mapa final'!$AD$30="Leve"),CONCATENATE("R10C",'Mapa final'!$R$30),"")</f>
        <v/>
      </c>
      <c r="M15" s="105" t="str">
        <f>IF(AND('Mapa final'!$AB$28="Muy Alta",'Mapa final'!$AD$28="Menor"),CONCATENATE("R10C",'Mapa final'!$R$28),"")</f>
        <v/>
      </c>
      <c r="N15" s="42" t="str">
        <f>IF(AND('Mapa final'!$AB$29="Muy Alta",'Mapa final'!$AD$29="Menor"),CONCATENATE("R10C",'Mapa final'!$R$29),"")</f>
        <v/>
      </c>
      <c r="O15" s="106" t="str">
        <f>IF(AND('Mapa final'!$AB$30="Muy Alta",'Mapa final'!$AD$30="Menor"),CONCATENATE("R10C",'Mapa final'!$R$30),"")</f>
        <v/>
      </c>
      <c r="P15" s="105" t="str">
        <f>IF(AND('Mapa final'!$AB$28="Muy Alta",'Mapa final'!$AD$28="Moderado"),CONCATENATE("R10C",'Mapa final'!$R$28),"")</f>
        <v/>
      </c>
      <c r="Q15" s="42" t="str">
        <f>IF(AND('Mapa final'!$AB$29="Muy Alta",'Mapa final'!$AD$29="Moderado"),CONCATENATE("R10C",'Mapa final'!$R$29),"")</f>
        <v/>
      </c>
      <c r="R15" s="106" t="str">
        <f>IF(AND('Mapa final'!$AB$30="Muy Alta",'Mapa final'!$AD$30="Moderado"),CONCATENATE("R10C",'Mapa final'!$R$30),"")</f>
        <v/>
      </c>
      <c r="S15" s="105" t="str">
        <f>IF(AND('Mapa final'!$AB$28="Muy Alta",'Mapa final'!$AD$28="Mayor"),CONCATENATE("R10C",'Mapa final'!$R$28),"")</f>
        <v/>
      </c>
      <c r="T15" s="42" t="str">
        <f>IF(AND('Mapa final'!$AB$29="Muy Alta",'Mapa final'!$AD$29="Mayor"),CONCATENATE("R10C",'Mapa final'!$R$29),"")</f>
        <v/>
      </c>
      <c r="U15" s="106" t="str">
        <f>IF(AND('Mapa final'!$AB$30="Muy Alta",'Mapa final'!$AD$30="Mayor"),CONCATENATE("R10C",'Mapa final'!$R$30),"")</f>
        <v/>
      </c>
      <c r="V15" s="43" t="str">
        <f>IF(AND('Mapa final'!$AB$28="Muy Alta",'Mapa final'!$AD$28="Catastrófico"),CONCATENATE("R10C",'Mapa final'!$R$28),"")</f>
        <v/>
      </c>
      <c r="W15" s="44" t="str">
        <f>IF(AND('Mapa final'!$AB$29="Muy Alta",'Mapa final'!$AD$29="Catastrófico"),CONCATENATE("R10C",'Mapa final'!$R$29),"")</f>
        <v/>
      </c>
      <c r="X15" s="100" t="str">
        <f>IF(AND('Mapa final'!$AB$30="Muy Alta",'Mapa final'!$AD$30="Catastrófico"),CONCATENATE("R10C",'Mapa final'!$R$30),"")</f>
        <v/>
      </c>
      <c r="Y15" s="56"/>
      <c r="Z15" s="301"/>
      <c r="AA15" s="302"/>
      <c r="AB15" s="302"/>
      <c r="AC15" s="302"/>
      <c r="AD15" s="302"/>
      <c r="AE15" s="303"/>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row>
    <row r="16" spans="1:76" ht="15" customHeight="1" x14ac:dyDescent="0.35">
      <c r="A16" s="56"/>
      <c r="B16" s="307"/>
      <c r="C16" s="307"/>
      <c r="D16" s="308"/>
      <c r="E16" s="284"/>
      <c r="F16" s="297"/>
      <c r="G16" s="297"/>
      <c r="H16" s="297"/>
      <c r="I16" s="279"/>
      <c r="J16" s="105" t="str">
        <f>IF(AND('Mapa final'!$AB$31="Muy Alta",'Mapa final'!$AD$31="Leve"),CONCATENATE("R11C",'Mapa final'!$R$31),"")</f>
        <v/>
      </c>
      <c r="K16" s="42" t="str">
        <f>IF(AND('Mapa final'!$AB$32="Muy Alta",'Mapa final'!$AD$32="Leve"),CONCATENATE("R11C",'Mapa final'!$R$32),"")</f>
        <v/>
      </c>
      <c r="L16" s="106" t="str">
        <f>IF(AND('Mapa final'!$AB$33="Muy Alta",'Mapa final'!$AD$33="Leve"),CONCATENATE("R11C",'Mapa final'!$R$33),"")</f>
        <v/>
      </c>
      <c r="M16" s="105" t="str">
        <f>IF(AND('Mapa final'!$AB$31="Muy Alta",'Mapa final'!$AD$31="Menor"),CONCATENATE("R11C",'Mapa final'!$R$31),"")</f>
        <v/>
      </c>
      <c r="N16" s="42" t="str">
        <f>IF(AND('Mapa final'!$AB$32="Muy Alta",'Mapa final'!$AD$32="Menor"),CONCATENATE("R11C",'Mapa final'!$R$32),"")</f>
        <v/>
      </c>
      <c r="O16" s="106" t="str">
        <f>IF(AND('Mapa final'!$AB$33="Muy Alta",'Mapa final'!$AD$33="Menor"),CONCATENATE("R11C",'Mapa final'!$R$33),"")</f>
        <v/>
      </c>
      <c r="P16" s="105" t="str">
        <f>IF(AND('Mapa final'!$AB$31="Muy Alta",'Mapa final'!$AD$31="Moderado"),CONCATENATE("R11C",'Mapa final'!$R$31),"")</f>
        <v/>
      </c>
      <c r="Q16" s="42" t="str">
        <f>IF(AND('Mapa final'!$AB$32="Muy Alta",'Mapa final'!$AD$32="Moderado"),CONCATENATE("R11C",'Mapa final'!$R$32),"")</f>
        <v/>
      </c>
      <c r="R16" s="106" t="str">
        <f>IF(AND('Mapa final'!$AB$33="Muy Alta",'Mapa final'!$AD$33="Moderado"),CONCATENATE("R11C",'Mapa final'!$R$33),"")</f>
        <v/>
      </c>
      <c r="S16" s="105" t="str">
        <f>IF(AND('Mapa final'!$AB$31="Muy Alta",'Mapa final'!$AD$31="Mayor"),CONCATENATE("R11C",'Mapa final'!$R$31),"")</f>
        <v/>
      </c>
      <c r="T16" s="42" t="str">
        <f>IF(AND('Mapa final'!$AB$32="Muy Alta",'Mapa final'!$AD$32="Mayor"),CONCATENATE("R11C",'Mapa final'!$R$32),"")</f>
        <v/>
      </c>
      <c r="U16" s="106" t="str">
        <f>IF(AND('Mapa final'!$AB$33="Muy Alta",'Mapa final'!$AD$33="Mayor"),CONCATENATE("R11C",'Mapa final'!$R$33),"")</f>
        <v/>
      </c>
      <c r="V16" s="43" t="str">
        <f>IF(AND('Mapa final'!$AB$31="Muy Alta",'Mapa final'!$AD$31="Catastrófico"),CONCATENATE("R11C",'Mapa final'!$R$31),"")</f>
        <v/>
      </c>
      <c r="W16" s="44" t="str">
        <f>IF(AND('Mapa final'!$AB$32="Muy Alta",'Mapa final'!$AD$32="Catastrófico"),CONCATENATE("R11C",'Mapa final'!$R$32),"")</f>
        <v/>
      </c>
      <c r="X16" s="100" t="str">
        <f>IF(AND('Mapa final'!$AB$33="Muy Alta",'Mapa final'!$AD$33="Catastrófico"),CONCATENATE("R11C",'Mapa final'!$R$33),"")</f>
        <v/>
      </c>
      <c r="Y16" s="56"/>
      <c r="Z16" s="301"/>
      <c r="AA16" s="302"/>
      <c r="AB16" s="302"/>
      <c r="AC16" s="302"/>
      <c r="AD16" s="302"/>
      <c r="AE16" s="303"/>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row>
    <row r="17" spans="1:61" ht="15" customHeight="1" x14ac:dyDescent="0.35">
      <c r="A17" s="56"/>
      <c r="B17" s="307"/>
      <c r="C17" s="307"/>
      <c r="D17" s="308"/>
      <c r="E17" s="284"/>
      <c r="F17" s="297"/>
      <c r="G17" s="297"/>
      <c r="H17" s="297"/>
      <c r="I17" s="279"/>
      <c r="J17" s="105" t="str">
        <f>IF(AND('Mapa final'!$AB$34="Muy Alta",'Mapa final'!$AD$34="Leve"),CONCATENATE("R12C",'Mapa final'!$R$34),"")</f>
        <v/>
      </c>
      <c r="K17" s="42" t="str">
        <f>IF(AND('Mapa final'!$AB$35="Muy Alta",'Mapa final'!$AD$35="Leve"),CONCATENATE("R12C",'Mapa final'!$R$35),"")</f>
        <v/>
      </c>
      <c r="L17" s="106" t="str">
        <f>IF(AND('Mapa final'!$AB$36="Muy Alta",'Mapa final'!$AD$36="Leve"),CONCATENATE("R12C",'Mapa final'!$R$36),"")</f>
        <v/>
      </c>
      <c r="M17" s="105" t="str">
        <f>IF(AND('Mapa final'!$AB$34="Muy Alta",'Mapa final'!$AD$34="Menor"),CONCATENATE("R12C",'Mapa final'!$R$34),"")</f>
        <v/>
      </c>
      <c r="N17" s="42" t="str">
        <f>IF(AND('Mapa final'!$AB$35="Muy Alta",'Mapa final'!$AD$35="Menor"),CONCATENATE("R12C",'Mapa final'!$R$35),"")</f>
        <v/>
      </c>
      <c r="O17" s="106" t="str">
        <f>IF(AND('Mapa final'!$AB$36="Muy Alta",'Mapa final'!$AD$36="Menor"),CONCATENATE("R12C",'Mapa final'!$R$36),"")</f>
        <v/>
      </c>
      <c r="P17" s="105" t="str">
        <f>IF(AND('Mapa final'!$AB$34="Muy Alta",'Mapa final'!$AD$34="Moderado"),CONCATENATE("R12C",'Mapa final'!$R$34),"")</f>
        <v/>
      </c>
      <c r="Q17" s="42" t="str">
        <f>IF(AND('Mapa final'!$AB$35="Muy Alta",'Mapa final'!$AD$35="Moderado"),CONCATENATE("R12C",'Mapa final'!$R$35),"")</f>
        <v/>
      </c>
      <c r="R17" s="106" t="str">
        <f>IF(AND('Mapa final'!$AB$36="Muy Alta",'Mapa final'!$AD$36="Moderado"),CONCATENATE("R12C",'Mapa final'!$R$36),"")</f>
        <v/>
      </c>
      <c r="S17" s="105" t="str">
        <f>IF(AND('Mapa final'!$AB$34="Muy Alta",'Mapa final'!$AD$34="Mayor"),CONCATENATE("R12C",'Mapa final'!$R$34),"")</f>
        <v/>
      </c>
      <c r="T17" s="42" t="str">
        <f>IF(AND('Mapa final'!$AB$35="Muy Alta",'Mapa final'!$AD$35="Mayor"),CONCATENATE("R12C",'Mapa final'!$R$35),"")</f>
        <v/>
      </c>
      <c r="U17" s="106" t="str">
        <f>IF(AND('Mapa final'!$AB$36="Muy Alta",'Mapa final'!$AD$36="Mayor"),CONCATENATE("R12C",'Mapa final'!$R$36),"")</f>
        <v/>
      </c>
      <c r="V17" s="43" t="str">
        <f>IF(AND('Mapa final'!$AB$34="Muy Alta",'Mapa final'!$AD$34="Catastrófico"),CONCATENATE("R12C",'Mapa final'!$R$34),"")</f>
        <v/>
      </c>
      <c r="W17" s="44" t="str">
        <f>IF(AND('Mapa final'!$AB$35="Muy Alta",'Mapa final'!$AD$35="Catastrófico"),CONCATENATE("R12C",'Mapa final'!$R$35),"")</f>
        <v/>
      </c>
      <c r="X17" s="100" t="str">
        <f>IF(AND('Mapa final'!$AB$36="Muy Alta",'Mapa final'!$AD$36="Catastrófico"),CONCATENATE("R12C",'Mapa final'!$R$36),"")</f>
        <v/>
      </c>
      <c r="Y17" s="56"/>
      <c r="Z17" s="301"/>
      <c r="AA17" s="302"/>
      <c r="AB17" s="302"/>
      <c r="AC17" s="302"/>
      <c r="AD17" s="302"/>
      <c r="AE17" s="303"/>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row>
    <row r="18" spans="1:61" ht="15" customHeight="1" x14ac:dyDescent="0.35">
      <c r="A18" s="56"/>
      <c r="B18" s="307"/>
      <c r="C18" s="307"/>
      <c r="D18" s="308"/>
      <c r="E18" s="284"/>
      <c r="F18" s="297"/>
      <c r="G18" s="297"/>
      <c r="H18" s="297"/>
      <c r="I18" s="279"/>
      <c r="J18" s="105" t="str">
        <f>IF(AND('Mapa final'!$AB$37="Muy Alta",'Mapa final'!$AD$37="Leve"),CONCATENATE("R13C",'Mapa final'!$R$37),"")</f>
        <v/>
      </c>
      <c r="K18" s="42" t="str">
        <f>IF(AND('Mapa final'!$AB$38="Muy Alta",'Mapa final'!$AD$38="Leve"),CONCATENATE("R13C",'Mapa final'!$R$38),"")</f>
        <v/>
      </c>
      <c r="L18" s="106" t="str">
        <f>IF(AND('Mapa final'!$AB$39="Muy Alta",'Mapa final'!$AD$39="Leve"),CONCATENATE("R13C",'Mapa final'!$R$39),"")</f>
        <v/>
      </c>
      <c r="M18" s="105" t="str">
        <f>IF(AND('Mapa final'!$AB$37="Muy Alta",'Mapa final'!$AD$37="Menor"),CONCATENATE("R13C",'Mapa final'!$R$37),"")</f>
        <v/>
      </c>
      <c r="N18" s="42" t="str">
        <f>IF(AND('Mapa final'!$AB$38="Muy Alta",'Mapa final'!$AD$38="Menor"),CONCATENATE("R13C",'Mapa final'!$R$38),"")</f>
        <v/>
      </c>
      <c r="O18" s="106" t="str">
        <f>IF(AND('Mapa final'!$AB$39="Muy Alta",'Mapa final'!$AD$39="Menor"),CONCATENATE("R13C",'Mapa final'!$R$39),"")</f>
        <v/>
      </c>
      <c r="P18" s="105" t="str">
        <f>IF(AND('Mapa final'!$AB$37="Muy Alta",'Mapa final'!$AD$37="Moderado"),CONCATENATE("R13C",'Mapa final'!$R$37),"")</f>
        <v/>
      </c>
      <c r="Q18" s="42" t="str">
        <f>IF(AND('Mapa final'!$AB$38="Muy Alta",'Mapa final'!$AD$38="Moderado"),CONCATENATE("R13C",'Mapa final'!$R$38),"")</f>
        <v/>
      </c>
      <c r="R18" s="106" t="str">
        <f>IF(AND('Mapa final'!$AB$39="Muy Alta",'Mapa final'!$AD$39="Moderado"),CONCATENATE("R13C",'Mapa final'!$R$39),"")</f>
        <v/>
      </c>
      <c r="S18" s="105" t="str">
        <f>IF(AND('Mapa final'!$AB$37="Muy Alta",'Mapa final'!$AD$37="Mayor"),CONCATENATE("R13C",'Mapa final'!$R$37),"")</f>
        <v/>
      </c>
      <c r="T18" s="42" t="str">
        <f>IF(AND('Mapa final'!$AB$38="Muy Alta",'Mapa final'!$AD$38="Mayor"),CONCATENATE("R13C",'Mapa final'!$R$38),"")</f>
        <v/>
      </c>
      <c r="U18" s="106" t="str">
        <f>IF(AND('Mapa final'!$AB$39="Muy Alta",'Mapa final'!$AD$39="Mayor"),CONCATENATE("R13C",'Mapa final'!$R$39),"")</f>
        <v/>
      </c>
      <c r="V18" s="43" t="str">
        <f>IF(AND('Mapa final'!$AB$37="Muy Alta",'Mapa final'!$AD$37="Catastrófico"),CONCATENATE("R13C",'Mapa final'!$R$37),"")</f>
        <v/>
      </c>
      <c r="W18" s="44" t="str">
        <f>IF(AND('Mapa final'!$AB$38="Muy Alta",'Mapa final'!$AD$38="Catastrófico"),CONCATENATE("R13C",'Mapa final'!$R$38),"")</f>
        <v/>
      </c>
      <c r="X18" s="100" t="str">
        <f>IF(AND('Mapa final'!$AB$39="Muy Alta",'Mapa final'!$AD$39="Catastrófico"),CONCATENATE("R13C",'Mapa final'!$R$39),"")</f>
        <v/>
      </c>
      <c r="Y18" s="56"/>
      <c r="Z18" s="301"/>
      <c r="AA18" s="302"/>
      <c r="AB18" s="302"/>
      <c r="AC18" s="302"/>
      <c r="AD18" s="302"/>
      <c r="AE18" s="303"/>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row>
    <row r="19" spans="1:61" ht="15" customHeight="1" x14ac:dyDescent="0.35">
      <c r="A19" s="56"/>
      <c r="B19" s="307"/>
      <c r="C19" s="307"/>
      <c r="D19" s="308"/>
      <c r="E19" s="284"/>
      <c r="F19" s="297"/>
      <c r="G19" s="297"/>
      <c r="H19" s="297"/>
      <c r="I19" s="279"/>
      <c r="J19" s="105" t="str">
        <f>IF(AND('Mapa final'!$AB$40="Muy Alta",'Mapa final'!$AD$40="Leve"),CONCATENATE("R14C",'Mapa final'!$R$40),"")</f>
        <v/>
      </c>
      <c r="K19" s="42" t="str">
        <f>IF(AND('Mapa final'!$AB$41="Muy Alta",'Mapa final'!$AD$41="Leve"),CONCATENATE("R14C",'Mapa final'!$R$41),"")</f>
        <v/>
      </c>
      <c r="L19" s="106" t="str">
        <f>IF(AND('Mapa final'!$AB$42="Muy Alta",'Mapa final'!$AD$42="Leve"),CONCATENATE("R14C",'Mapa final'!$R$42),"")</f>
        <v/>
      </c>
      <c r="M19" s="105" t="str">
        <f>IF(AND('Mapa final'!$AB$40="Muy Alta",'Mapa final'!$AD$40="Menor"),CONCATENATE("R14C",'Mapa final'!$R$40),"")</f>
        <v/>
      </c>
      <c r="N19" s="42" t="str">
        <f>IF(AND('Mapa final'!$AB$41="Muy Alta",'Mapa final'!$AD$41="Menor"),CONCATENATE("R14C",'Mapa final'!$R$41),"")</f>
        <v/>
      </c>
      <c r="O19" s="106" t="str">
        <f>IF(AND('Mapa final'!$AB$42="Muy Alta",'Mapa final'!$AD$42="Menor"),CONCATENATE("R14C",'Mapa final'!$R$42),"")</f>
        <v/>
      </c>
      <c r="P19" s="105" t="str">
        <f>IF(AND('Mapa final'!$AB$40="Muy Alta",'Mapa final'!$AD$40="Moderado"),CONCATENATE("R14C",'Mapa final'!$R$40),"")</f>
        <v/>
      </c>
      <c r="Q19" s="42" t="str">
        <f>IF(AND('Mapa final'!$AB$41="Muy Alta",'Mapa final'!$AD$41="Moderado"),CONCATENATE("R14C",'Mapa final'!$R$41),"")</f>
        <v/>
      </c>
      <c r="R19" s="106" t="str">
        <f>IF(AND('Mapa final'!$AB$42="Muy Alta",'Mapa final'!$AD$42="Moderado"),CONCATENATE("R14C",'Mapa final'!$R$42),"")</f>
        <v/>
      </c>
      <c r="S19" s="105" t="str">
        <f>IF(AND('Mapa final'!$AB$40="Muy Alta",'Mapa final'!$AD$40="Mayor"),CONCATENATE("R14C",'Mapa final'!$R$40),"")</f>
        <v/>
      </c>
      <c r="T19" s="42" t="str">
        <f>IF(AND('Mapa final'!$AB$41="Muy Alta",'Mapa final'!$AD$41="Mayor"),CONCATENATE("R14C",'Mapa final'!$R$41),"")</f>
        <v/>
      </c>
      <c r="U19" s="106" t="str">
        <f>IF(AND('Mapa final'!$AB$42="Muy Alta",'Mapa final'!$AD$42="Mayor"),CONCATENATE("R14C",'Mapa final'!$R$42),"")</f>
        <v/>
      </c>
      <c r="V19" s="43" t="str">
        <f>IF(AND('Mapa final'!$AB$40="Muy Alta",'Mapa final'!$AD$40="Catastrófico"),CONCATENATE("R14C",'Mapa final'!$R$40),"")</f>
        <v/>
      </c>
      <c r="W19" s="44" t="str">
        <f>IF(AND('Mapa final'!$AB$41="Muy Alta",'Mapa final'!$AD$41="Catastrófico"),CONCATENATE("R14C",'Mapa final'!$R$41),"")</f>
        <v/>
      </c>
      <c r="X19" s="100" t="str">
        <f>IF(AND('Mapa final'!$AB$42="Muy Alta",'Mapa final'!$AD$42="Catastrófico"),CONCATENATE("R14C",'Mapa final'!$R$42),"")</f>
        <v/>
      </c>
      <c r="Y19" s="56"/>
      <c r="Z19" s="301"/>
      <c r="AA19" s="302"/>
      <c r="AB19" s="302"/>
      <c r="AC19" s="302"/>
      <c r="AD19" s="302"/>
      <c r="AE19" s="303"/>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row>
    <row r="20" spans="1:61" ht="15" customHeight="1" x14ac:dyDescent="0.35">
      <c r="A20" s="56"/>
      <c r="B20" s="307"/>
      <c r="C20" s="307"/>
      <c r="D20" s="308"/>
      <c r="E20" s="284"/>
      <c r="F20" s="297"/>
      <c r="G20" s="297"/>
      <c r="H20" s="297"/>
      <c r="I20" s="279"/>
      <c r="J20" s="105" t="str">
        <f>IF(AND('Mapa final'!$AB$43="Muy Alta",'Mapa final'!$AD$43="Leve"),CONCATENATE("R15C",'Mapa final'!$R$43),"")</f>
        <v/>
      </c>
      <c r="K20" s="42" t="str">
        <f>IF(AND('Mapa final'!$AB$44="Muy Alta",'Mapa final'!$AD$44="Leve"),CONCATENATE("R15C",'Mapa final'!$R$44),"")</f>
        <v/>
      </c>
      <c r="L20" s="106" t="str">
        <f>IF(AND('Mapa final'!$AB$45="Muy Alta",'Mapa final'!$AD$45="Leve"),CONCATENATE("R15C",'Mapa final'!$R$45),"")</f>
        <v/>
      </c>
      <c r="M20" s="105" t="str">
        <f>IF(AND('Mapa final'!$AB$43="Muy Alta",'Mapa final'!$AD$43="Menor"),CONCATENATE("R15C",'Mapa final'!$R$43),"")</f>
        <v/>
      </c>
      <c r="N20" s="42" t="str">
        <f>IF(AND('Mapa final'!$AB$44="Muy Alta",'Mapa final'!$AD$44="Menor"),CONCATENATE("R15C",'Mapa final'!$R$44),"")</f>
        <v/>
      </c>
      <c r="O20" s="106" t="str">
        <f>IF(AND('Mapa final'!$AB$45="Muy Alta",'Mapa final'!$AD$45="Menor"),CONCATENATE("R15C",'Mapa final'!$R$45),"")</f>
        <v/>
      </c>
      <c r="P20" s="105" t="str">
        <f>IF(AND('Mapa final'!$AB$43="Muy Alta",'Mapa final'!$AD$43="Moderado"),CONCATENATE("R15C",'Mapa final'!$R$43),"")</f>
        <v/>
      </c>
      <c r="Q20" s="42" t="str">
        <f>IF(AND('Mapa final'!$AB$44="Muy Alta",'Mapa final'!$AD$44="Moderado"),CONCATENATE("R15C",'Mapa final'!$R$44),"")</f>
        <v/>
      </c>
      <c r="R20" s="106" t="str">
        <f>IF(AND('Mapa final'!$AB$45="Muy Alta",'Mapa final'!$AD$45="Moderado"),CONCATENATE("R15C",'Mapa final'!$R$45),"")</f>
        <v/>
      </c>
      <c r="S20" s="105" t="str">
        <f>IF(AND('Mapa final'!$AB$43="Muy Alta",'Mapa final'!$AD$43="Mayor"),CONCATENATE("R15C",'Mapa final'!$R$43),"")</f>
        <v/>
      </c>
      <c r="T20" s="42" t="str">
        <f>IF(AND('Mapa final'!$AB$44="Muy Alta",'Mapa final'!$AD$44="Mayor"),CONCATENATE("R15C",'Mapa final'!$R$44),"")</f>
        <v/>
      </c>
      <c r="U20" s="106" t="str">
        <f>IF(AND('Mapa final'!$AB$45="Muy Alta",'Mapa final'!$AD$45="Mayor"),CONCATENATE("R15C",'Mapa final'!$R$45),"")</f>
        <v/>
      </c>
      <c r="V20" s="43" t="str">
        <f>IF(AND('Mapa final'!$AB$43="Muy Alta",'Mapa final'!$AD$43="Catastrófico"),CONCATENATE("R15C",'Mapa final'!$R$43),"")</f>
        <v/>
      </c>
      <c r="W20" s="44" t="str">
        <f>IF(AND('Mapa final'!$AB$44="Muy Alta",'Mapa final'!$AD$44="Catastrófico"),CONCATENATE("R15C",'Mapa final'!$R$44),"")</f>
        <v/>
      </c>
      <c r="X20" s="100" t="str">
        <f>IF(AND('Mapa final'!$AB$45="Muy Alta",'Mapa final'!$AD$45="Catastrófico"),CONCATENATE("R15C",'Mapa final'!$R$45),"")</f>
        <v/>
      </c>
      <c r="Y20" s="56"/>
      <c r="Z20" s="301"/>
      <c r="AA20" s="302"/>
      <c r="AB20" s="302"/>
      <c r="AC20" s="302"/>
      <c r="AD20" s="302"/>
      <c r="AE20" s="303"/>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row>
    <row r="21" spans="1:61" ht="15" customHeight="1" x14ac:dyDescent="0.35">
      <c r="A21" s="56"/>
      <c r="B21" s="307"/>
      <c r="C21" s="307"/>
      <c r="D21" s="308"/>
      <c r="E21" s="284"/>
      <c r="F21" s="297"/>
      <c r="G21" s="297"/>
      <c r="H21" s="297"/>
      <c r="I21" s="279"/>
      <c r="J21" s="105" t="str">
        <f>IF(AND('Mapa final'!$AB$46="Muy Alta",'Mapa final'!$AD$46="Leve"),CONCATENATE("R16C",'Mapa final'!$R$46),"")</f>
        <v/>
      </c>
      <c r="K21" s="42" t="str">
        <f>IF(AND('Mapa final'!$AB$47="Muy Alta",'Mapa final'!$AD$47="Leve"),CONCATENATE("R16C",'Mapa final'!$R$47),"")</f>
        <v/>
      </c>
      <c r="L21" s="106" t="str">
        <f>IF(AND('Mapa final'!$AB$48="Muy Alta",'Mapa final'!$AD$48="Leve"),CONCATENATE("R16C",'Mapa final'!$R$48),"")</f>
        <v/>
      </c>
      <c r="M21" s="105" t="str">
        <f>IF(AND('Mapa final'!$AB$46="Muy Alta",'Mapa final'!$AD$46="Menor"),CONCATENATE("R16C",'Mapa final'!$R$46),"")</f>
        <v/>
      </c>
      <c r="N21" s="42" t="str">
        <f>IF(AND('Mapa final'!$AB$47="Muy Alta",'Mapa final'!$AD$47="Menor"),CONCATENATE("R16C",'Mapa final'!$R$47),"")</f>
        <v/>
      </c>
      <c r="O21" s="106" t="str">
        <f>IF(AND('Mapa final'!$AB$48="Muy Alta",'Mapa final'!$AD$48="Menor"),CONCATENATE("R16C",'Mapa final'!$R$48),"")</f>
        <v/>
      </c>
      <c r="P21" s="105" t="str">
        <f>IF(AND('Mapa final'!$AB$46="Muy Alta",'Mapa final'!$AD$46="Moderado"),CONCATENATE("R16C",'Mapa final'!$R$46),"")</f>
        <v/>
      </c>
      <c r="Q21" s="42" t="str">
        <f>IF(AND('Mapa final'!$AB$47="Muy Alta",'Mapa final'!$AD$47="Moderado"),CONCATENATE("R16C",'Mapa final'!$R$47),"")</f>
        <v/>
      </c>
      <c r="R21" s="106" t="str">
        <f>IF(AND('Mapa final'!$AB$48="Muy Alta",'Mapa final'!$AD$48="Moderado"),CONCATENATE("R16C",'Mapa final'!$R$48),"")</f>
        <v/>
      </c>
      <c r="S21" s="105" t="str">
        <f>IF(AND('Mapa final'!$AB$46="Muy Alta",'Mapa final'!$AD$46="Mayor"),CONCATENATE("R16C",'Mapa final'!$R$46),"")</f>
        <v/>
      </c>
      <c r="T21" s="42" t="str">
        <f>IF(AND('Mapa final'!$AB$47="Muy Alta",'Mapa final'!$AD$47="Mayor"),CONCATENATE("R16C",'Mapa final'!$R$47),"")</f>
        <v/>
      </c>
      <c r="U21" s="106" t="str">
        <f>IF(AND('Mapa final'!$AB$48="Muy Alta",'Mapa final'!$AD$48="Mayor"),CONCATENATE("R16C",'Mapa final'!$R$48),"")</f>
        <v/>
      </c>
      <c r="V21" s="43" t="str">
        <f>IF(AND('Mapa final'!$AB$46="Muy Alta",'Mapa final'!$AD$46="Catastrófico"),CONCATENATE("R16C",'Mapa final'!$R$46),"")</f>
        <v/>
      </c>
      <c r="W21" s="44" t="str">
        <f>IF(AND('Mapa final'!$AB$47="Muy Alta",'Mapa final'!$AD$47="Catastrófico"),CONCATENATE("R16C",'Mapa final'!$R$47),"")</f>
        <v/>
      </c>
      <c r="X21" s="100" t="str">
        <f>IF(AND('Mapa final'!$AB$48="Muy Alta",'Mapa final'!$AD$48="Catastrófico"),CONCATENATE("R16C",'Mapa final'!$R$48),"")</f>
        <v/>
      </c>
      <c r="Y21" s="56"/>
      <c r="Z21" s="301"/>
      <c r="AA21" s="302"/>
      <c r="AB21" s="302"/>
      <c r="AC21" s="302"/>
      <c r="AD21" s="302"/>
      <c r="AE21" s="303"/>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row>
    <row r="22" spans="1:61" ht="15" customHeight="1" x14ac:dyDescent="0.35">
      <c r="A22" s="56"/>
      <c r="B22" s="307"/>
      <c r="C22" s="307"/>
      <c r="D22" s="308"/>
      <c r="E22" s="284"/>
      <c r="F22" s="297"/>
      <c r="G22" s="297"/>
      <c r="H22" s="297"/>
      <c r="I22" s="279"/>
      <c r="J22" s="105" t="str">
        <f>IF(AND('Mapa final'!$AB$49="Muy Alta",'Mapa final'!$AD$49="Leve"),CONCATENATE("R17C",'Mapa final'!$R$49),"")</f>
        <v/>
      </c>
      <c r="K22" s="42" t="str">
        <f>IF(AND('Mapa final'!$AB$50="Muy Alta",'Mapa final'!$AD$50="Leve"),CONCATENATE("R17C",'Mapa final'!$R$50),"")</f>
        <v/>
      </c>
      <c r="L22" s="106" t="str">
        <f>IF(AND('Mapa final'!$AB$51="Muy Alta",'Mapa final'!$AD$51="Leve"),CONCATENATE("R17C",'Mapa final'!$R$51),"")</f>
        <v/>
      </c>
      <c r="M22" s="105" t="str">
        <f>IF(AND('Mapa final'!$AB$49="Muy Alta",'Mapa final'!$AD$49="Menor"),CONCATENATE("R17C",'Mapa final'!$R$49),"")</f>
        <v/>
      </c>
      <c r="N22" s="42" t="str">
        <f>IF(AND('Mapa final'!$AB$50="Muy Alta",'Mapa final'!$AD$50="Menor"),CONCATENATE("R17C",'Mapa final'!$R$50),"")</f>
        <v/>
      </c>
      <c r="O22" s="106" t="str">
        <f>IF(AND('Mapa final'!$AB$51="Muy Alta",'Mapa final'!$AD$51="Menor"),CONCATENATE("R17C",'Mapa final'!$R$51),"")</f>
        <v/>
      </c>
      <c r="P22" s="105" t="str">
        <f>IF(AND('Mapa final'!$AB$49="Muy Alta",'Mapa final'!$AD$49="Moderado"),CONCATENATE("R17C",'Mapa final'!$R$49),"")</f>
        <v/>
      </c>
      <c r="Q22" s="42" t="str">
        <f>IF(AND('Mapa final'!$AB$50="Muy Alta",'Mapa final'!$AD$50="Moderado"),CONCATENATE("R17C",'Mapa final'!$R$50),"")</f>
        <v/>
      </c>
      <c r="R22" s="106" t="str">
        <f>IF(AND('Mapa final'!$AB$51="Muy Alta",'Mapa final'!$AD$51="Moderado"),CONCATENATE("R17C",'Mapa final'!$R$51),"")</f>
        <v/>
      </c>
      <c r="S22" s="105" t="str">
        <f>IF(AND('Mapa final'!$AB$49="Muy Alta",'Mapa final'!$AD$49="Mayor"),CONCATENATE("R17C",'Mapa final'!$R$49),"")</f>
        <v/>
      </c>
      <c r="T22" s="42" t="str">
        <f>IF(AND('Mapa final'!$AB$50="Muy Alta",'Mapa final'!$AD$50="Mayor"),CONCATENATE("R17C",'Mapa final'!$R$50),"")</f>
        <v/>
      </c>
      <c r="U22" s="106" t="str">
        <f>IF(AND('Mapa final'!$AB$51="Muy Alta",'Mapa final'!$AD$51="Mayor"),CONCATENATE("R17C",'Mapa final'!$R$51),"")</f>
        <v/>
      </c>
      <c r="V22" s="43" t="str">
        <f>IF(AND('Mapa final'!$AB$49="Muy Alta",'Mapa final'!$AD$49="Catastrófico"),CONCATENATE("R17C",'Mapa final'!$R$49),"")</f>
        <v/>
      </c>
      <c r="W22" s="44" t="str">
        <f>IF(AND('Mapa final'!$AB$50="Muy Alta",'Mapa final'!$AD$50="Catastrófico"),CONCATENATE("R17C",'Mapa final'!$R$50),"")</f>
        <v/>
      </c>
      <c r="X22" s="100" t="str">
        <f>IF(AND('Mapa final'!$AB$51="Muy Alta",'Mapa final'!$AD$51="Catastrófico"),CONCATENATE("R17C",'Mapa final'!$R$51),"")</f>
        <v/>
      </c>
      <c r="Y22" s="56"/>
      <c r="Z22" s="301"/>
      <c r="AA22" s="302"/>
      <c r="AB22" s="302"/>
      <c r="AC22" s="302"/>
      <c r="AD22" s="302"/>
      <c r="AE22" s="303"/>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row>
    <row r="23" spans="1:61" ht="15" customHeight="1" x14ac:dyDescent="0.35">
      <c r="A23" s="56"/>
      <c r="B23" s="307"/>
      <c r="C23" s="307"/>
      <c r="D23" s="308"/>
      <c r="E23" s="284"/>
      <c r="F23" s="297"/>
      <c r="G23" s="297"/>
      <c r="H23" s="297"/>
      <c r="I23" s="279"/>
      <c r="J23" s="105" t="str">
        <f>IF(AND('Mapa final'!$AB$52="Muy Alta",'Mapa final'!$AD$52="Leve"),CONCATENATE("R18C",'Mapa final'!$R$52),"")</f>
        <v/>
      </c>
      <c r="K23" s="42" t="str">
        <f>IF(AND('Mapa final'!$AB$53="Muy Alta",'Mapa final'!$AD$53="Leve"),CONCATENATE("R18C",'Mapa final'!$R$53),"")</f>
        <v/>
      </c>
      <c r="L23" s="106" t="str">
        <f>IF(AND('Mapa final'!$AB$54="Muy Alta",'Mapa final'!$AD$54="Leve"),CONCATENATE("R18C",'Mapa final'!$R$54),"")</f>
        <v/>
      </c>
      <c r="M23" s="105" t="str">
        <f>IF(AND('Mapa final'!$AB$52="Muy Alta",'Mapa final'!$AD$52="Menor"),CONCATENATE("R18C",'Mapa final'!$R$52),"")</f>
        <v/>
      </c>
      <c r="N23" s="42" t="str">
        <f>IF(AND('Mapa final'!$AB$53="Muy Alta",'Mapa final'!$AD$53="Menor"),CONCATENATE("R18C",'Mapa final'!$R$53),"")</f>
        <v/>
      </c>
      <c r="O23" s="106" t="str">
        <f>IF(AND('Mapa final'!$AB$54="Muy Alta",'Mapa final'!$AD$54="Menor"),CONCATENATE("R18C",'Mapa final'!$R$54),"")</f>
        <v/>
      </c>
      <c r="P23" s="105" t="str">
        <f>IF(AND('Mapa final'!$AB$52="Muy Alta",'Mapa final'!$AD$52="Moderado"),CONCATENATE("R18C",'Mapa final'!$R$52),"")</f>
        <v/>
      </c>
      <c r="Q23" s="42" t="str">
        <f>IF(AND('Mapa final'!$AB$53="Muy Alta",'Mapa final'!$AD$53="Moderado"),CONCATENATE("R18C",'Mapa final'!$R$53),"")</f>
        <v/>
      </c>
      <c r="R23" s="106" t="str">
        <f>IF(AND('Mapa final'!$AB$54="Muy Alta",'Mapa final'!$AD$54="Moderado"),CONCATENATE("R18C",'Mapa final'!$R$54),"")</f>
        <v/>
      </c>
      <c r="S23" s="105" t="str">
        <f>IF(AND('Mapa final'!$AB$52="Muy Alta",'Mapa final'!$AD$52="Mayor"),CONCATENATE("R18C",'Mapa final'!$R$52),"")</f>
        <v/>
      </c>
      <c r="T23" s="42" t="str">
        <f>IF(AND('Mapa final'!$AB$53="Muy Alta",'Mapa final'!$AD$53="Mayor"),CONCATENATE("R18C",'Mapa final'!$R$53),"")</f>
        <v/>
      </c>
      <c r="U23" s="106" t="str">
        <f>IF(AND('Mapa final'!$AB$54="Muy Alta",'Mapa final'!$AD$54="Mayor"),CONCATENATE("R18C",'Mapa final'!$R$54),"")</f>
        <v/>
      </c>
      <c r="V23" s="43" t="str">
        <f>IF(AND('Mapa final'!$AB$52="Muy Alta",'Mapa final'!$AD$52="Catastrófico"),CONCATENATE("R18C",'Mapa final'!$R$52),"")</f>
        <v/>
      </c>
      <c r="W23" s="44" t="str">
        <f>IF(AND('Mapa final'!$AB$53="Muy Alta",'Mapa final'!$AD$53="Catastrófico"),CONCATENATE("R18C",'Mapa final'!$R$53),"")</f>
        <v/>
      </c>
      <c r="X23" s="100" t="str">
        <f>IF(AND('Mapa final'!$AB$54="Muy Alta",'Mapa final'!$AD$54="Catastrófico"),CONCATENATE("R18C",'Mapa final'!$R$54),"")</f>
        <v/>
      </c>
      <c r="Y23" s="56"/>
      <c r="Z23" s="301"/>
      <c r="AA23" s="302"/>
      <c r="AB23" s="302"/>
      <c r="AC23" s="302"/>
      <c r="AD23" s="302"/>
      <c r="AE23" s="303"/>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row>
    <row r="24" spans="1:61" ht="15" customHeight="1" x14ac:dyDescent="0.35">
      <c r="A24" s="56"/>
      <c r="B24" s="307"/>
      <c r="C24" s="307"/>
      <c r="D24" s="308"/>
      <c r="E24" s="284"/>
      <c r="F24" s="297"/>
      <c r="G24" s="297"/>
      <c r="H24" s="297"/>
      <c r="I24" s="279"/>
      <c r="J24" s="105" t="str">
        <f>IF(AND('Mapa final'!$AB$55="Muy Alta",'Mapa final'!$AD$55="Leve"),CONCATENATE("R19C",'Mapa final'!$R$55),"")</f>
        <v/>
      </c>
      <c r="K24" s="42" t="str">
        <f>IF(AND('Mapa final'!$AB$56="Muy Alta",'Mapa final'!$AD$56="Leve"),CONCATENATE("R19C",'Mapa final'!$R$56),"")</f>
        <v/>
      </c>
      <c r="L24" s="106" t="str">
        <f>IF(AND('Mapa final'!$AB$57="Muy Alta",'Mapa final'!$AD$57="Leve"),CONCATENATE("R19C",'Mapa final'!$R$57),"")</f>
        <v/>
      </c>
      <c r="M24" s="105" t="str">
        <f>IF(AND('Mapa final'!$AB$55="Muy Alta",'Mapa final'!$AD$55="Menor"),CONCATENATE("R19C",'Mapa final'!$R$55),"")</f>
        <v/>
      </c>
      <c r="N24" s="42" t="str">
        <f>IF(AND('Mapa final'!$AB$56="Muy Alta",'Mapa final'!$AD$56="Menor"),CONCATENATE("R19C",'Mapa final'!$R$56),"")</f>
        <v/>
      </c>
      <c r="O24" s="106" t="str">
        <f>IF(AND('Mapa final'!$AB$57="Muy Alta",'Mapa final'!$AD$57="Menor"),CONCATENATE("R19C",'Mapa final'!$R$57),"")</f>
        <v/>
      </c>
      <c r="P24" s="105" t="str">
        <f>IF(AND('Mapa final'!$AB$55="Muy Alta",'Mapa final'!$AD$55="Moderado"),CONCATENATE("R19C",'Mapa final'!$R$55),"")</f>
        <v/>
      </c>
      <c r="Q24" s="42" t="str">
        <f>IF(AND('Mapa final'!$AB$56="Muy Alta",'Mapa final'!$AD$56="Moderado"),CONCATENATE("R19C",'Mapa final'!$R$56),"")</f>
        <v/>
      </c>
      <c r="R24" s="106" t="str">
        <f>IF(AND('Mapa final'!$AB$57="Muy Alta",'Mapa final'!$AD$57="Moderado"),CONCATENATE("R19C",'Mapa final'!$R$57),"")</f>
        <v/>
      </c>
      <c r="S24" s="105" t="str">
        <f>IF(AND('Mapa final'!$AB$55="Muy Alta",'Mapa final'!$AD$55="Mayor"),CONCATENATE("R19C",'Mapa final'!$R$55),"")</f>
        <v/>
      </c>
      <c r="T24" s="42" t="str">
        <f>IF(AND('Mapa final'!$AB$56="Muy Alta",'Mapa final'!$AD$56="Mayor"),CONCATENATE("R19C",'Mapa final'!$R$56),"")</f>
        <v/>
      </c>
      <c r="U24" s="106" t="str">
        <f>IF(AND('Mapa final'!$AB$57="Muy Alta",'Mapa final'!$AD$57="Mayor"),CONCATENATE("R19C",'Mapa final'!$R$57),"")</f>
        <v/>
      </c>
      <c r="V24" s="43" t="str">
        <f>IF(AND('Mapa final'!$AB$55="Muy Alta",'Mapa final'!$AD$55="Catastrófico"),CONCATENATE("R19C",'Mapa final'!$R$55),"")</f>
        <v/>
      </c>
      <c r="W24" s="44" t="str">
        <f>IF(AND('Mapa final'!$AB$56="Muy Alta",'Mapa final'!$AD$56="Catastrófico"),CONCATENATE("R19C",'Mapa final'!$R$56),"")</f>
        <v/>
      </c>
      <c r="X24" s="100" t="str">
        <f>IF(AND('Mapa final'!$AB$57="Muy Alta",'Mapa final'!$AD$57="Catastrófico"),CONCATENATE("R19C",'Mapa final'!$R$57),"")</f>
        <v/>
      </c>
      <c r="Y24" s="56"/>
      <c r="Z24" s="301"/>
      <c r="AA24" s="302"/>
      <c r="AB24" s="302"/>
      <c r="AC24" s="302"/>
      <c r="AD24" s="302"/>
      <c r="AE24" s="303"/>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row>
    <row r="25" spans="1:61" ht="15" customHeight="1" x14ac:dyDescent="0.35">
      <c r="A25" s="56"/>
      <c r="B25" s="307"/>
      <c r="C25" s="307"/>
      <c r="D25" s="308"/>
      <c r="E25" s="284"/>
      <c r="F25" s="297"/>
      <c r="G25" s="297"/>
      <c r="H25" s="297"/>
      <c r="I25" s="279"/>
      <c r="J25" s="105" t="str">
        <f>IF(AND('Mapa final'!$AB$58="Muy Alta",'Mapa final'!$AD$58="Leve"),CONCATENATE("R20C",'Mapa final'!$R$58),"")</f>
        <v/>
      </c>
      <c r="K25" s="42" t="str">
        <f>IF(AND('Mapa final'!$AB$59="Muy Alta",'Mapa final'!$AD$59="Leve"),CONCATENATE("R20C",'Mapa final'!$R$59),"")</f>
        <v/>
      </c>
      <c r="L25" s="106" t="str">
        <f>IF(AND('Mapa final'!$AB$60="Muy Alta",'Mapa final'!$AD$60="Leve"),CONCATENATE("R20C",'Mapa final'!$R$60),"")</f>
        <v/>
      </c>
      <c r="M25" s="105" t="str">
        <f>IF(AND('Mapa final'!$AB$58="Muy Alta",'Mapa final'!$AD$58="Menor"),CONCATENATE("R20C",'Mapa final'!$R$58),"")</f>
        <v/>
      </c>
      <c r="N25" s="42" t="str">
        <f>IF(AND('Mapa final'!$AB$59="Muy Alta",'Mapa final'!$AD$59="Menor"),CONCATENATE("R20C",'Mapa final'!$R$59),"")</f>
        <v/>
      </c>
      <c r="O25" s="106" t="str">
        <f>IF(AND('Mapa final'!$AB$60="Muy Alta",'Mapa final'!$AD$60="Menor"),CONCATENATE("R20C",'Mapa final'!$R$60),"")</f>
        <v/>
      </c>
      <c r="P25" s="105" t="str">
        <f>IF(AND('Mapa final'!$AB$58="Muy Alta",'Mapa final'!$AD$58="Moderado"),CONCATENATE("R20C",'Mapa final'!$R$58),"")</f>
        <v/>
      </c>
      <c r="Q25" s="42" t="str">
        <f>IF(AND('Mapa final'!$AB$59="Muy Alta",'Mapa final'!$AD$59="Moderado"),CONCATENATE("R20C",'Mapa final'!$R$59),"")</f>
        <v/>
      </c>
      <c r="R25" s="106" t="str">
        <f>IF(AND('Mapa final'!$AB$60="Muy Alta",'Mapa final'!$AD$60="Moderado"),CONCATENATE("R20C",'Mapa final'!$R$60),"")</f>
        <v/>
      </c>
      <c r="S25" s="105" t="str">
        <f>IF(AND('Mapa final'!$AB$58="Muy Alta",'Mapa final'!$AD$58="Mayor"),CONCATENATE("R20C",'Mapa final'!$R$58),"")</f>
        <v/>
      </c>
      <c r="T25" s="42" t="str">
        <f>IF(AND('Mapa final'!$AB$59="Muy Alta",'Mapa final'!$AD$59="Mayor"),CONCATENATE("R20C",'Mapa final'!$R$59),"")</f>
        <v/>
      </c>
      <c r="U25" s="106" t="str">
        <f>IF(AND('Mapa final'!$AB$60="Muy Alta",'Mapa final'!$AD$60="Mayor"),CONCATENATE("R20C",'Mapa final'!$R$60),"")</f>
        <v/>
      </c>
      <c r="V25" s="43" t="str">
        <f>IF(AND('Mapa final'!$AB$58="Muy Alta",'Mapa final'!$AD$58="Catastrófico"),CONCATENATE("R20C",'Mapa final'!$R$58),"")</f>
        <v/>
      </c>
      <c r="W25" s="44" t="str">
        <f>IF(AND('Mapa final'!$AB$59="Muy Alta",'Mapa final'!$AD$59="Catastrófico"),CONCATENATE("R20C",'Mapa final'!$R$59),"")</f>
        <v/>
      </c>
      <c r="X25" s="100" t="str">
        <f>IF(AND('Mapa final'!$AB$60="Muy Alta",'Mapa final'!$AD$60="Catastrófico"),CONCATENATE("R20C",'Mapa final'!$R$60),"")</f>
        <v/>
      </c>
      <c r="Y25" s="56"/>
      <c r="Z25" s="301"/>
      <c r="AA25" s="302"/>
      <c r="AB25" s="302"/>
      <c r="AC25" s="302"/>
      <c r="AD25" s="302"/>
      <c r="AE25" s="303"/>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row>
    <row r="26" spans="1:61" ht="15" customHeight="1" x14ac:dyDescent="0.35">
      <c r="A26" s="56"/>
      <c r="B26" s="307"/>
      <c r="C26" s="307"/>
      <c r="D26" s="308"/>
      <c r="E26" s="284"/>
      <c r="F26" s="297"/>
      <c r="G26" s="297"/>
      <c r="H26" s="297"/>
      <c r="I26" s="279"/>
      <c r="J26" s="105" t="str">
        <f>IF(AND('Mapa final'!$AB$61="Muy Alta",'Mapa final'!$AD$61="Leve"),CONCATENATE("R21C",'Mapa final'!$R$61),"")</f>
        <v/>
      </c>
      <c r="K26" s="42" t="str">
        <f>IF(AND('Mapa final'!$AB$62="Muy Alta",'Mapa final'!$AD$62="Leve"),CONCATENATE("R21C",'Mapa final'!$R$62),"")</f>
        <v/>
      </c>
      <c r="L26" s="106" t="str">
        <f>IF(AND('Mapa final'!$AB$63="Muy Alta",'Mapa final'!$AD$63="Leve"),CONCATENATE("R21C",'Mapa final'!$R$63),"")</f>
        <v/>
      </c>
      <c r="M26" s="105" t="str">
        <f>IF(AND('Mapa final'!$AB$61="Muy Alta",'Mapa final'!$AD$61="Menor"),CONCATENATE("R21C",'Mapa final'!$R$61),"")</f>
        <v/>
      </c>
      <c r="N26" s="42" t="str">
        <f>IF(AND('Mapa final'!$AB$62="Muy Alta",'Mapa final'!$AD$62="Menor"),CONCATENATE("R21C",'Mapa final'!$R$62),"")</f>
        <v/>
      </c>
      <c r="O26" s="106" t="str">
        <f>IF(AND('Mapa final'!$AB$63="Muy Alta",'Mapa final'!$AD$63="Menor"),CONCATENATE("R21C",'Mapa final'!$R$63),"")</f>
        <v/>
      </c>
      <c r="P26" s="105" t="str">
        <f>IF(AND('Mapa final'!$AB$61="Muy Alta",'Mapa final'!$AD$61="Moderado"),CONCATENATE("R21C",'Mapa final'!$R$61),"")</f>
        <v/>
      </c>
      <c r="Q26" s="42" t="str">
        <f>IF(AND('Mapa final'!$AB$62="Muy Alta",'Mapa final'!$AD$62="Moderado"),CONCATENATE("R21C",'Mapa final'!$R$62),"")</f>
        <v/>
      </c>
      <c r="R26" s="106" t="str">
        <f>IF(AND('Mapa final'!$AB$63="Muy Alta",'Mapa final'!$AD$63="Moderado"),CONCATENATE("R21C",'Mapa final'!$R$63),"")</f>
        <v/>
      </c>
      <c r="S26" s="105" t="str">
        <f>IF(AND('Mapa final'!$AB$61="Muy Alta",'Mapa final'!$AD$61="Mayor"),CONCATENATE("R21C",'Mapa final'!$R$61),"")</f>
        <v/>
      </c>
      <c r="T26" s="42" t="str">
        <f>IF(AND('Mapa final'!$AB$62="Muy Alta",'Mapa final'!$AD$62="Mayor"),CONCATENATE("R21C",'Mapa final'!$R$62),"")</f>
        <v/>
      </c>
      <c r="U26" s="106" t="str">
        <f>IF(AND('Mapa final'!$AB$63="Muy Alta",'Mapa final'!$AD$63="Mayor"),CONCATENATE("R21C",'Mapa final'!$R$63),"")</f>
        <v/>
      </c>
      <c r="V26" s="43" t="str">
        <f>IF(AND('Mapa final'!$AB$61="Muy Alta",'Mapa final'!$AD$61="Catastrófico"),CONCATENATE("R21C",'Mapa final'!$R$61),"")</f>
        <v/>
      </c>
      <c r="W26" s="44" t="str">
        <f>IF(AND('Mapa final'!$AB$62="Muy Alta",'Mapa final'!$AD$62="Catastrófico"),CONCATENATE("R21C",'Mapa final'!$R$62),"")</f>
        <v/>
      </c>
      <c r="X26" s="100" t="str">
        <f>IF(AND('Mapa final'!$AB$63="Muy Alta",'Mapa final'!$AD$63="Catastrófico"),CONCATENATE("R21C",'Mapa final'!$R$63),"")</f>
        <v/>
      </c>
      <c r="Y26" s="56"/>
      <c r="Z26" s="301"/>
      <c r="AA26" s="302"/>
      <c r="AB26" s="302"/>
      <c r="AC26" s="302"/>
      <c r="AD26" s="302"/>
      <c r="AE26" s="303"/>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row>
    <row r="27" spans="1:61" ht="15" customHeight="1" x14ac:dyDescent="0.35">
      <c r="A27" s="56"/>
      <c r="B27" s="307"/>
      <c r="C27" s="307"/>
      <c r="D27" s="308"/>
      <c r="E27" s="284"/>
      <c r="F27" s="297"/>
      <c r="G27" s="297"/>
      <c r="H27" s="297"/>
      <c r="I27" s="279"/>
      <c r="J27" s="105" t="str">
        <f>IF(AND('Mapa final'!$AB$64="Muy Alta",'Mapa final'!$AD$64="Leve"),CONCATENATE("R22C",'Mapa final'!$R$64),"")</f>
        <v/>
      </c>
      <c r="K27" s="42" t="str">
        <f>IF(AND('Mapa final'!$AB$65="Muy Alta",'Mapa final'!$AD$65="Leve"),CONCATENATE("R22C",'Mapa final'!$R$65),"")</f>
        <v/>
      </c>
      <c r="L27" s="106" t="str">
        <f>IF(AND('Mapa final'!$AB$66="Muy Alta",'Mapa final'!$AD$66="Leve"),CONCATENATE("R22C",'Mapa final'!$R$66),"")</f>
        <v/>
      </c>
      <c r="M27" s="105" t="str">
        <f>IF(AND('Mapa final'!$AB$64="Muy Alta",'Mapa final'!$AD$64="Menor"),CONCATENATE("R22C",'Mapa final'!$R$64),"")</f>
        <v/>
      </c>
      <c r="N27" s="42" t="str">
        <f>IF(AND('Mapa final'!$AB$65="Muy Alta",'Mapa final'!$AD$65="Menor"),CONCATENATE("R22C",'Mapa final'!$R$65),"")</f>
        <v/>
      </c>
      <c r="O27" s="106" t="str">
        <f>IF(AND('Mapa final'!$AB$66="Muy Alta",'Mapa final'!$AD$66="Menor"),CONCATENATE("R22C",'Mapa final'!$R$66),"")</f>
        <v/>
      </c>
      <c r="P27" s="105" t="str">
        <f>IF(AND('Mapa final'!$AB$64="Muy Alta",'Mapa final'!$AD$64="Moderado"),CONCATENATE("R22C",'Mapa final'!$R$64),"")</f>
        <v/>
      </c>
      <c r="Q27" s="42" t="str">
        <f>IF(AND('Mapa final'!$AB$65="Muy Alta",'Mapa final'!$AD$65="Moderado"),CONCATENATE("R22C",'Mapa final'!$R$65),"")</f>
        <v/>
      </c>
      <c r="R27" s="106" t="str">
        <f>IF(AND('Mapa final'!$AB$66="Muy Alta",'Mapa final'!$AD$66="Moderado"),CONCATENATE("R22C",'Mapa final'!$R$66),"")</f>
        <v/>
      </c>
      <c r="S27" s="105" t="str">
        <f>IF(AND('Mapa final'!$AB$64="Muy Alta",'Mapa final'!$AD$64="Mayor"),CONCATENATE("R22C",'Mapa final'!$R$64),"")</f>
        <v/>
      </c>
      <c r="T27" s="42" t="str">
        <f>IF(AND('Mapa final'!$AB$65="Muy Alta",'Mapa final'!$AD$65="Mayor"),CONCATENATE("R22C",'Mapa final'!$R$65),"")</f>
        <v/>
      </c>
      <c r="U27" s="106" t="str">
        <f>IF(AND('Mapa final'!$AB$66="Muy Alta",'Mapa final'!$AD$66="Mayor"),CONCATENATE("R22C",'Mapa final'!$R$66),"")</f>
        <v/>
      </c>
      <c r="V27" s="43" t="str">
        <f>IF(AND('Mapa final'!$AB$64="Muy Alta",'Mapa final'!$AD$64="Catastrófico"),CONCATENATE("R22C",'Mapa final'!$R$64),"")</f>
        <v/>
      </c>
      <c r="W27" s="44" t="str">
        <f>IF(AND('Mapa final'!$AB$65="Muy Alta",'Mapa final'!$AD$65="Catastrófico"),CONCATENATE("R22C",'Mapa final'!$R$65),"")</f>
        <v/>
      </c>
      <c r="X27" s="100" t="str">
        <f>IF(AND('Mapa final'!$AB$66="Muy Alta",'Mapa final'!$AD$66="Catastrófico"),CONCATENATE("R22C",'Mapa final'!$R$66),"")</f>
        <v/>
      </c>
      <c r="Y27" s="56"/>
      <c r="Z27" s="301"/>
      <c r="AA27" s="302"/>
      <c r="AB27" s="302"/>
      <c r="AC27" s="302"/>
      <c r="AD27" s="302"/>
      <c r="AE27" s="303"/>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row>
    <row r="28" spans="1:61" ht="15" customHeight="1" x14ac:dyDescent="0.35">
      <c r="A28" s="56"/>
      <c r="B28" s="307"/>
      <c r="C28" s="307"/>
      <c r="D28" s="308"/>
      <c r="E28" s="284"/>
      <c r="F28" s="297"/>
      <c r="G28" s="297"/>
      <c r="H28" s="297"/>
      <c r="I28" s="279"/>
      <c r="J28" s="105" t="str">
        <f>IF(AND('Mapa final'!$AB$70="Muy Alta",'Mapa final'!$AD$70="Leve"),CONCATENATE("R23C",'Mapa final'!$R$70),"")</f>
        <v/>
      </c>
      <c r="K28" s="42" t="str">
        <f>IF(AND('Mapa final'!$AB$71="Muy Alta",'Mapa final'!$AD$71="Leve"),CONCATENATE("R23C",'Mapa final'!$R$71),"")</f>
        <v/>
      </c>
      <c r="L28" s="106" t="str">
        <f>IF(AND('Mapa final'!$AB$72="Muy Alta",'Mapa final'!$AD$72="Leve"),CONCATENATE("R23C",'Mapa final'!$R$72),"")</f>
        <v/>
      </c>
      <c r="M28" s="105" t="str">
        <f>IF(AND('Mapa final'!$AB$70="Muy Alta",'Mapa final'!$AD$70="Menor"),CONCATENATE("R23C",'Mapa final'!$R$70),"")</f>
        <v/>
      </c>
      <c r="N28" s="42" t="str">
        <f>IF(AND('Mapa final'!$AB$71="Muy Alta",'Mapa final'!$AD$71="Menor"),CONCATENATE("R23C",'Mapa final'!$R$71),"")</f>
        <v/>
      </c>
      <c r="O28" s="106" t="str">
        <f>IF(AND('Mapa final'!$AB$72="Muy Alta",'Mapa final'!$AD$72="Menor"),CONCATENATE("R23C",'Mapa final'!$R$72),"")</f>
        <v/>
      </c>
      <c r="P28" s="105" t="str">
        <f>IF(AND('Mapa final'!$AB$70="Muy Alta",'Mapa final'!$AD$70="Moderado"),CONCATENATE("R23C",'Mapa final'!$R$70),"")</f>
        <v/>
      </c>
      <c r="Q28" s="42" t="str">
        <f>IF(AND('Mapa final'!$AB$71="Muy Alta",'Mapa final'!$AD$71="Moderado"),CONCATENATE("R23C",'Mapa final'!$R$71),"")</f>
        <v/>
      </c>
      <c r="R28" s="106" t="str">
        <f>IF(AND('Mapa final'!$AB$72="Muy Alta",'Mapa final'!$AD$72="Moderado"),CONCATENATE("R23C",'Mapa final'!$R$72),"")</f>
        <v/>
      </c>
      <c r="S28" s="105" t="str">
        <f>IF(AND('Mapa final'!$AB$70="Muy Alta",'Mapa final'!$AD$70="Mayor"),CONCATENATE("R23C",'Mapa final'!$R$70),"")</f>
        <v/>
      </c>
      <c r="T28" s="42" t="str">
        <f>IF(AND('Mapa final'!$AB$71="Muy Alta",'Mapa final'!$AD$71="Mayor"),CONCATENATE("R23C",'Mapa final'!$R$71),"")</f>
        <v/>
      </c>
      <c r="U28" s="106" t="str">
        <f>IF(AND('Mapa final'!$AB$72="Muy Alta",'Mapa final'!$AD$72="Mayor"),CONCATENATE("R23C",'Mapa final'!$R$72),"")</f>
        <v/>
      </c>
      <c r="V28" s="43" t="str">
        <f>IF(AND('Mapa final'!$AB$70="Muy Alta",'Mapa final'!$AD$70="Catastrófico"),CONCATENATE("R23C",'Mapa final'!$R$70),"")</f>
        <v/>
      </c>
      <c r="W28" s="44" t="str">
        <f>IF(AND('Mapa final'!$AB$71="Muy Alta",'Mapa final'!$AD$71="Catastrófico"),CONCATENATE("R23C",'Mapa final'!$R$71),"")</f>
        <v/>
      </c>
      <c r="X28" s="100" t="str">
        <f>IF(AND('Mapa final'!$AB$72="Muy Alta",'Mapa final'!$AD$72="Catastrófico"),CONCATENATE("R23C",'Mapa final'!$R$72),"")</f>
        <v/>
      </c>
      <c r="Y28" s="56"/>
      <c r="Z28" s="301"/>
      <c r="AA28" s="302"/>
      <c r="AB28" s="302"/>
      <c r="AC28" s="302"/>
      <c r="AD28" s="302"/>
      <c r="AE28" s="303"/>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row>
    <row r="29" spans="1:61" ht="15" customHeight="1" x14ac:dyDescent="0.35">
      <c r="A29" s="56"/>
      <c r="B29" s="307"/>
      <c r="C29" s="307"/>
      <c r="D29" s="308"/>
      <c r="E29" s="284"/>
      <c r="F29" s="297"/>
      <c r="G29" s="297"/>
      <c r="H29" s="297"/>
      <c r="I29" s="279"/>
      <c r="J29" s="105" t="str">
        <f>IF(AND('Mapa final'!$AB$73="Muy Alta",'Mapa final'!$AD$73="Leve"),CONCATENATE("R24C",'Mapa final'!$R$73),"")</f>
        <v/>
      </c>
      <c r="K29" s="42" t="str">
        <f>IF(AND('Mapa final'!$AB$74="Muy Alta",'Mapa final'!$AD$74="Leve"),CONCATENATE("R24C",'Mapa final'!$R$74),"")</f>
        <v/>
      </c>
      <c r="L29" s="106" t="str">
        <f>IF(AND('Mapa final'!$AB$75="Muy Alta",'Mapa final'!$AD$75="Leve"),CONCATENATE("R24C",'Mapa final'!$R$75),"")</f>
        <v/>
      </c>
      <c r="M29" s="105" t="str">
        <f>IF(AND('Mapa final'!$AB$73="Muy Alta",'Mapa final'!$AD$73="Menor"),CONCATENATE("R24C",'Mapa final'!$R$73),"")</f>
        <v/>
      </c>
      <c r="N29" s="42" t="str">
        <f>IF(AND('Mapa final'!$AB$74="Muy Alta",'Mapa final'!$AD$74="Menor"),CONCATENATE("R24C",'Mapa final'!$R$74),"")</f>
        <v/>
      </c>
      <c r="O29" s="106" t="str">
        <f>IF(AND('Mapa final'!$AB$75="Muy Alta",'Mapa final'!$AD$75="Menor"),CONCATENATE("R24C",'Mapa final'!$R$75),"")</f>
        <v/>
      </c>
      <c r="P29" s="105" t="str">
        <f>IF(AND('Mapa final'!$AB$73="Muy Alta",'Mapa final'!$AD$73="Moderado"),CONCATENATE("R24C",'Mapa final'!$R$73),"")</f>
        <v/>
      </c>
      <c r="Q29" s="42" t="str">
        <f>IF(AND('Mapa final'!$AB$74="Muy Alta",'Mapa final'!$AD$74="Moderado"),CONCATENATE("R24C",'Mapa final'!$R$74),"")</f>
        <v/>
      </c>
      <c r="R29" s="106" t="str">
        <f>IF(AND('Mapa final'!$AB$75="Muy Alta",'Mapa final'!$AD$75="Moderado"),CONCATENATE("R24C",'Mapa final'!$R$75),"")</f>
        <v/>
      </c>
      <c r="S29" s="105" t="str">
        <f>IF(AND('Mapa final'!$AB$73="Muy Alta",'Mapa final'!$AD$73="Mayor"),CONCATENATE("R24C",'Mapa final'!$R$73),"")</f>
        <v/>
      </c>
      <c r="T29" s="42" t="str">
        <f>IF(AND('Mapa final'!$AB$74="Muy Alta",'Mapa final'!$AD$74="Mayor"),CONCATENATE("R24C",'Mapa final'!$R$74),"")</f>
        <v/>
      </c>
      <c r="U29" s="106" t="str">
        <f>IF(AND('Mapa final'!$AB$75="Muy Alta",'Mapa final'!$AD$75="Mayor"),CONCATENATE("R24C",'Mapa final'!$R$75),"")</f>
        <v/>
      </c>
      <c r="V29" s="43" t="str">
        <f>IF(AND('Mapa final'!$AB$73="Muy Alta",'Mapa final'!$AD$73="Catastrófico"),CONCATENATE("R24C",'Mapa final'!$R$73),"")</f>
        <v/>
      </c>
      <c r="W29" s="44" t="str">
        <f>IF(AND('Mapa final'!$AB$74="Muy Alta",'Mapa final'!$AD$74="Catastrófico"),CONCATENATE("R24C",'Mapa final'!$R$74),"")</f>
        <v/>
      </c>
      <c r="X29" s="100" t="str">
        <f>IF(AND('Mapa final'!$AB$75="Muy Alta",'Mapa final'!$AD$75="Catastrófico"),CONCATENATE("R24C",'Mapa final'!$R$75),"")</f>
        <v/>
      </c>
      <c r="Y29" s="56"/>
      <c r="Z29" s="301"/>
      <c r="AA29" s="302"/>
      <c r="AB29" s="302"/>
      <c r="AC29" s="302"/>
      <c r="AD29" s="302"/>
      <c r="AE29" s="303"/>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row>
    <row r="30" spans="1:61" ht="15" customHeight="1" x14ac:dyDescent="0.35">
      <c r="A30" s="56"/>
      <c r="B30" s="307"/>
      <c r="C30" s="307"/>
      <c r="D30" s="308"/>
      <c r="E30" s="284"/>
      <c r="F30" s="297"/>
      <c r="G30" s="297"/>
      <c r="H30" s="297"/>
      <c r="I30" s="279"/>
      <c r="J30" s="105" t="str">
        <f>IF(AND('Mapa final'!$AB$76="Muy Alta",'Mapa final'!$AD$76="Leve"),CONCATENATE("R25C",'Mapa final'!$R$76),"")</f>
        <v/>
      </c>
      <c r="K30" s="42" t="str">
        <f>IF(AND('Mapa final'!$AB$77="Muy Alta",'Mapa final'!$AD$77="Leve"),CONCATENATE("R25C",'Mapa final'!$R$77),"")</f>
        <v/>
      </c>
      <c r="L30" s="106" t="str">
        <f>IF(AND('Mapa final'!$AB$78="Muy Alta",'Mapa final'!$AD$78="Leve"),CONCATENATE("R25C",'Mapa final'!$R$78),"")</f>
        <v/>
      </c>
      <c r="M30" s="105" t="str">
        <f>IF(AND('Mapa final'!$AB$76="Muy Alta",'Mapa final'!$AD$76="Menor"),CONCATENATE("R25C",'Mapa final'!$R$76),"")</f>
        <v/>
      </c>
      <c r="N30" s="42" t="str">
        <f>IF(AND('Mapa final'!$AB$77="Muy Alta",'Mapa final'!$AD$77="Menor"),CONCATENATE("R25C",'Mapa final'!$R$77),"")</f>
        <v/>
      </c>
      <c r="O30" s="106" t="str">
        <f>IF(AND('Mapa final'!$AB$78="Muy Alta",'Mapa final'!$AD$78="Menor"),CONCATENATE("R25C",'Mapa final'!$R$78),"")</f>
        <v/>
      </c>
      <c r="P30" s="105" t="str">
        <f>IF(AND('Mapa final'!$AB$76="Muy Alta",'Mapa final'!$AD$76="Moderado"),CONCATENATE("R25C",'Mapa final'!$R$76),"")</f>
        <v/>
      </c>
      <c r="Q30" s="42" t="str">
        <f>IF(AND('Mapa final'!$AB$77="Muy Alta",'Mapa final'!$AD$77="Moderado"),CONCATENATE("R25C",'Mapa final'!$R$77),"")</f>
        <v/>
      </c>
      <c r="R30" s="106" t="str">
        <f>IF(AND('Mapa final'!$AB$78="Muy Alta",'Mapa final'!$AD$78="Moderado"),CONCATENATE("R25C",'Mapa final'!$R$78),"")</f>
        <v/>
      </c>
      <c r="S30" s="105" t="str">
        <f>IF(AND('Mapa final'!$AB$76="Muy Alta",'Mapa final'!$AD$76="Mayor"),CONCATENATE("R25C",'Mapa final'!$R$76),"")</f>
        <v/>
      </c>
      <c r="T30" s="42" t="str">
        <f>IF(AND('Mapa final'!$AB$77="Muy Alta",'Mapa final'!$AD$77="Mayor"),CONCATENATE("R25C",'Mapa final'!$R$77),"")</f>
        <v/>
      </c>
      <c r="U30" s="106" t="str">
        <f>IF(AND('Mapa final'!$AB$78="Muy Alta",'Mapa final'!$AD$78="Mayor"),CONCATENATE("R25C",'Mapa final'!$R$78),"")</f>
        <v/>
      </c>
      <c r="V30" s="43" t="str">
        <f>IF(AND('Mapa final'!$AB$76="Muy Alta",'Mapa final'!$AD$76="Catastrófico"),CONCATENATE("R25C",'Mapa final'!$R$76),"")</f>
        <v/>
      </c>
      <c r="W30" s="44" t="str">
        <f>IF(AND('Mapa final'!$AB$77="Muy Alta",'Mapa final'!$AD$77="Catastrófico"),CONCATENATE("R25C",'Mapa final'!$R$77),"")</f>
        <v/>
      </c>
      <c r="X30" s="100" t="str">
        <f>IF(AND('Mapa final'!$AB$78="Muy Alta",'Mapa final'!$AD$78="Catastrófico"),CONCATENATE("R25C",'Mapa final'!$R$78),"")</f>
        <v/>
      </c>
      <c r="Y30" s="56"/>
      <c r="Z30" s="301"/>
      <c r="AA30" s="302"/>
      <c r="AB30" s="302"/>
      <c r="AC30" s="302"/>
      <c r="AD30" s="302"/>
      <c r="AE30" s="303"/>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row>
    <row r="31" spans="1:61" ht="15" customHeight="1" x14ac:dyDescent="0.35">
      <c r="A31" s="56"/>
      <c r="B31" s="307"/>
      <c r="C31" s="307"/>
      <c r="D31" s="308"/>
      <c r="E31" s="284"/>
      <c r="F31" s="297"/>
      <c r="G31" s="297"/>
      <c r="H31" s="297"/>
      <c r="I31" s="279"/>
      <c r="J31" s="105" t="str">
        <f>IF(AND('Mapa final'!$AB$79="Muy Alta",'Mapa final'!$AD$79="Leve"),CONCATENATE("R26C",'Mapa final'!$R$79),"")</f>
        <v/>
      </c>
      <c r="K31" s="42" t="str">
        <f>IF(AND('Mapa final'!$AB$80="Muy Alta",'Mapa final'!$AD$80="Leve"),CONCATENATE("R26C",'Mapa final'!$R$80),"")</f>
        <v/>
      </c>
      <c r="L31" s="106" t="str">
        <f>IF(AND('Mapa final'!$AB$81="Muy Alta",'Mapa final'!$AD$81="Leve"),CONCATENATE("R26C",'Mapa final'!$R$81),"")</f>
        <v/>
      </c>
      <c r="M31" s="105" t="str">
        <f>IF(AND('Mapa final'!$AB$79="Muy Alta",'Mapa final'!$AD$79="Menor"),CONCATENATE("R26C",'Mapa final'!$R$79),"")</f>
        <v/>
      </c>
      <c r="N31" s="42" t="str">
        <f>IF(AND('Mapa final'!$AB$80="Muy Alta",'Mapa final'!$AD$80="Menor"),CONCATENATE("R26C",'Mapa final'!$R$80),"")</f>
        <v/>
      </c>
      <c r="O31" s="106" t="str">
        <f>IF(AND('Mapa final'!$AB$81="Muy Alta",'Mapa final'!$AD$81="Menor"),CONCATENATE("R26C",'Mapa final'!$R$81),"")</f>
        <v/>
      </c>
      <c r="P31" s="105" t="str">
        <f>IF(AND('Mapa final'!$AB$79="Muy Alta",'Mapa final'!$AD$79="Moderado"),CONCATENATE("R26C",'Mapa final'!$R$79),"")</f>
        <v/>
      </c>
      <c r="Q31" s="42" t="str">
        <f>IF(AND('Mapa final'!$AB$80="Muy Alta",'Mapa final'!$AD$80="Moderado"),CONCATENATE("R26C",'Mapa final'!$R$80),"")</f>
        <v/>
      </c>
      <c r="R31" s="106" t="str">
        <f>IF(AND('Mapa final'!$AB$81="Muy Alta",'Mapa final'!$AD$81="Moderado"),CONCATENATE("R26C",'Mapa final'!$R$81),"")</f>
        <v/>
      </c>
      <c r="S31" s="105" t="str">
        <f>IF(AND('Mapa final'!$AB$79="Muy Alta",'Mapa final'!$AD$79="Mayor"),CONCATENATE("R26C",'Mapa final'!$R$79),"")</f>
        <v/>
      </c>
      <c r="T31" s="42" t="str">
        <f>IF(AND('Mapa final'!$AB$80="Muy Alta",'Mapa final'!$AD$80="Mayor"),CONCATENATE("R26C",'Mapa final'!$R$80),"")</f>
        <v/>
      </c>
      <c r="U31" s="106" t="str">
        <f>IF(AND('Mapa final'!$AB$81="Muy Alta",'Mapa final'!$AD$81="Mayor"),CONCATENATE("R26C",'Mapa final'!$R$81),"")</f>
        <v/>
      </c>
      <c r="V31" s="43" t="str">
        <f>IF(AND('Mapa final'!$AB$79="Muy Alta",'Mapa final'!$AD$79="Catastrófico"),CONCATENATE("R26C",'Mapa final'!$R$79),"")</f>
        <v/>
      </c>
      <c r="W31" s="44" t="str">
        <f>IF(AND('Mapa final'!$AB$80="Muy Alta",'Mapa final'!$AD$80="Catastrófico"),CONCATENATE("R26C",'Mapa final'!$R$80),"")</f>
        <v/>
      </c>
      <c r="X31" s="100" t="str">
        <f>IF(AND('Mapa final'!$AB$81="Muy Alta",'Mapa final'!$AD$81="Catastrófico"),CONCATENATE("R26C",'Mapa final'!$R$81),"")</f>
        <v/>
      </c>
      <c r="Y31" s="56"/>
      <c r="Z31" s="301"/>
      <c r="AA31" s="302"/>
      <c r="AB31" s="302"/>
      <c r="AC31" s="302"/>
      <c r="AD31" s="302"/>
      <c r="AE31" s="303"/>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row>
    <row r="32" spans="1:61" ht="15" customHeight="1" x14ac:dyDescent="0.35">
      <c r="A32" s="56"/>
      <c r="B32" s="307"/>
      <c r="C32" s="307"/>
      <c r="D32" s="308"/>
      <c r="E32" s="284"/>
      <c r="F32" s="297"/>
      <c r="G32" s="297"/>
      <c r="H32" s="297"/>
      <c r="I32" s="279"/>
      <c r="J32" s="105" t="str">
        <f>IF(AND('Mapa final'!$AB$82="Muy Alta",'Mapa final'!$AD$82="Leve"),CONCATENATE("R27C",'Mapa final'!$R$82),"")</f>
        <v/>
      </c>
      <c r="K32" s="42" t="str">
        <f>IF(AND('Mapa final'!$AB$83="Muy Alta",'Mapa final'!$AD$83="Leve"),CONCATENATE("R27C",'Mapa final'!$R$83),"")</f>
        <v/>
      </c>
      <c r="L32" s="106" t="str">
        <f>IF(AND('Mapa final'!$AB$84="Muy Alta",'Mapa final'!$AD$84="Leve"),CONCATENATE("R27C",'Mapa final'!$R$84),"")</f>
        <v/>
      </c>
      <c r="M32" s="105" t="str">
        <f>IF(AND('Mapa final'!$AB$82="Muy Alta",'Mapa final'!$AD$82="Menor"),CONCATENATE("R27C",'Mapa final'!$R$82),"")</f>
        <v/>
      </c>
      <c r="N32" s="42" t="str">
        <f>IF(AND('Mapa final'!$AB$83="Muy Alta",'Mapa final'!$AD$83="Menor"),CONCATENATE("R27C",'Mapa final'!$R$83),"")</f>
        <v/>
      </c>
      <c r="O32" s="106" t="str">
        <f>IF(AND('Mapa final'!$AB$84="Muy Alta",'Mapa final'!$AD$84="Menor"),CONCATENATE("R27C",'Mapa final'!$R$84),"")</f>
        <v/>
      </c>
      <c r="P32" s="105" t="str">
        <f>IF(AND('Mapa final'!$AB$82="Muy Alta",'Mapa final'!$AD$82="Moderado"),CONCATENATE("R27C",'Mapa final'!$R$82),"")</f>
        <v/>
      </c>
      <c r="Q32" s="42" t="str">
        <f>IF(AND('Mapa final'!$AB$83="Muy Alta",'Mapa final'!$AD$83="Moderado"),CONCATENATE("R27C",'Mapa final'!$R$83),"")</f>
        <v/>
      </c>
      <c r="R32" s="106" t="str">
        <f>IF(AND('Mapa final'!$AB$84="Muy Alta",'Mapa final'!$AD$84="Moderado"),CONCATENATE("R27C",'Mapa final'!$R$84),"")</f>
        <v/>
      </c>
      <c r="S32" s="105" t="str">
        <f>IF(AND('Mapa final'!$AB$82="Muy Alta",'Mapa final'!$AD$82="Mayor"),CONCATENATE("R27C",'Mapa final'!$R$82),"")</f>
        <v/>
      </c>
      <c r="T32" s="42" t="str">
        <f>IF(AND('Mapa final'!$AB$83="Muy Alta",'Mapa final'!$AD$83="Mayor"),CONCATENATE("R27C",'Mapa final'!$R$83),"")</f>
        <v/>
      </c>
      <c r="U32" s="106" t="str">
        <f>IF(AND('Mapa final'!$AB$84="Muy Alta",'Mapa final'!$AD$84="Mayor"),CONCATENATE("R27C",'Mapa final'!$R$84),"")</f>
        <v/>
      </c>
      <c r="V32" s="43" t="str">
        <f>IF(AND('Mapa final'!$AB$82="Muy Alta",'Mapa final'!$AD$82="Catastrófico"),CONCATENATE("R27C",'Mapa final'!$R$82),"")</f>
        <v/>
      </c>
      <c r="W32" s="44" t="str">
        <f>IF(AND('Mapa final'!$AB$83="Muy Alta",'Mapa final'!$AD$83="Catastrófico"),CONCATENATE("R27C",'Mapa final'!$R$83),"")</f>
        <v/>
      </c>
      <c r="X32" s="100" t="str">
        <f>IF(AND('Mapa final'!$AB$84="Muy Alta",'Mapa final'!$AD$84="Catastrófico"),CONCATENATE("R27C",'Mapa final'!$R$84),"")</f>
        <v/>
      </c>
      <c r="Y32" s="56"/>
      <c r="Z32" s="301"/>
      <c r="AA32" s="302"/>
      <c r="AB32" s="302"/>
      <c r="AC32" s="302"/>
      <c r="AD32" s="302"/>
      <c r="AE32" s="303"/>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row>
    <row r="33" spans="1:61" ht="15" customHeight="1" x14ac:dyDescent="0.35">
      <c r="A33" s="56"/>
      <c r="B33" s="307"/>
      <c r="C33" s="307"/>
      <c r="D33" s="308"/>
      <c r="E33" s="284"/>
      <c r="F33" s="297"/>
      <c r="G33" s="297"/>
      <c r="H33" s="297"/>
      <c r="I33" s="279"/>
      <c r="J33" s="105" t="str">
        <f>IF(AND('Mapa final'!$AB$85="Muy Alta",'Mapa final'!$AD$85="Leve"),CONCATENATE("R28C",'Mapa final'!$R$85),"")</f>
        <v/>
      </c>
      <c r="K33" s="42" t="str">
        <f>IF(AND('Mapa final'!$AB$86="Muy Alta",'Mapa final'!$AD$86="Leve"),CONCATENATE("R28C",'Mapa final'!$R$86),"")</f>
        <v/>
      </c>
      <c r="L33" s="106" t="str">
        <f>IF(AND('Mapa final'!$AB$87="Muy Alta",'Mapa final'!$AD$87="Leve"),CONCATENATE("R28C",'Mapa final'!$R$87),"")</f>
        <v/>
      </c>
      <c r="M33" s="105" t="str">
        <f>IF(AND('Mapa final'!$AB$85="Muy Alta",'Mapa final'!$AD$85="Menor"),CONCATENATE("R28C",'Mapa final'!$R$85),"")</f>
        <v/>
      </c>
      <c r="N33" s="42" t="str">
        <f>IF(AND('Mapa final'!$AB$86="Muy Alta",'Mapa final'!$AD$86="Menor"),CONCATENATE("R28C",'Mapa final'!$R$86),"")</f>
        <v/>
      </c>
      <c r="O33" s="106" t="str">
        <f>IF(AND('Mapa final'!$AB$87="Muy Alta",'Mapa final'!$AD$87="Menor"),CONCATENATE("R28C",'Mapa final'!$R$87),"")</f>
        <v/>
      </c>
      <c r="P33" s="105" t="str">
        <f>IF(AND('Mapa final'!$AB$85="Muy Alta",'Mapa final'!$AD$85="Moderado"),CONCATENATE("R28C",'Mapa final'!$R$85),"")</f>
        <v/>
      </c>
      <c r="Q33" s="42" t="str">
        <f>IF(AND('Mapa final'!$AB$86="Muy Alta",'Mapa final'!$AD$86="Moderado"),CONCATENATE("R28C",'Mapa final'!$R$86),"")</f>
        <v/>
      </c>
      <c r="R33" s="106" t="str">
        <f>IF(AND('Mapa final'!$AB$87="Muy Alta",'Mapa final'!$AD$87="Moderado"),CONCATENATE("R28C",'Mapa final'!$R$87),"")</f>
        <v/>
      </c>
      <c r="S33" s="105" t="str">
        <f>IF(AND('Mapa final'!$AB$85="Muy Alta",'Mapa final'!$AD$85="Mayor"),CONCATENATE("R28C",'Mapa final'!$R$85),"")</f>
        <v/>
      </c>
      <c r="T33" s="42" t="str">
        <f>IF(AND('Mapa final'!$AB$86="Muy Alta",'Mapa final'!$AD$86="Mayor"),CONCATENATE("R28C",'Mapa final'!$R$86),"")</f>
        <v/>
      </c>
      <c r="U33" s="106" t="str">
        <f>IF(AND('Mapa final'!$AB$87="Muy Alta",'Mapa final'!$AD$87="Mayor"),CONCATENATE("R28C",'Mapa final'!$R$87),"")</f>
        <v/>
      </c>
      <c r="V33" s="43" t="str">
        <f>IF(AND('Mapa final'!$AB$85="Muy Alta",'Mapa final'!$AD$85="Catastrófico"),CONCATENATE("R28C",'Mapa final'!$R$85),"")</f>
        <v/>
      </c>
      <c r="W33" s="44" t="str">
        <f>IF(AND('Mapa final'!$AB$86="Muy Alta",'Mapa final'!$AD$86="Catastrófico"),CONCATENATE("R28C",'Mapa final'!$R$86),"")</f>
        <v/>
      </c>
      <c r="X33" s="100" t="str">
        <f>IF(AND('Mapa final'!$AB$87="Muy Alta",'Mapa final'!$AD$87="Catastrófico"),CONCATENATE("R28C",'Mapa final'!$R$87),"")</f>
        <v/>
      </c>
      <c r="Y33" s="56"/>
      <c r="Z33" s="301"/>
      <c r="AA33" s="302"/>
      <c r="AB33" s="302"/>
      <c r="AC33" s="302"/>
      <c r="AD33" s="302"/>
      <c r="AE33" s="303"/>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row>
    <row r="34" spans="1:61" ht="15" customHeight="1" x14ac:dyDescent="0.35">
      <c r="A34" s="56"/>
      <c r="B34" s="307"/>
      <c r="C34" s="307"/>
      <c r="D34" s="308"/>
      <c r="E34" s="284"/>
      <c r="F34" s="297"/>
      <c r="G34" s="297"/>
      <c r="H34" s="297"/>
      <c r="I34" s="279"/>
      <c r="J34" s="105" t="str">
        <f>IF(AND('Mapa final'!$AB$88="Muy Alta",'Mapa final'!$AD$88="Leve"),CONCATENATE("R29C",'Mapa final'!$R$88),"")</f>
        <v/>
      </c>
      <c r="K34" s="42" t="str">
        <f>IF(AND('Mapa final'!$AB$89="Muy Alta",'Mapa final'!$AD$89="Leve"),CONCATENATE("R29C",'Mapa final'!$R$89),"")</f>
        <v/>
      </c>
      <c r="L34" s="106" t="str">
        <f>IF(AND('Mapa final'!$AB$90="Muy Alta",'Mapa final'!$AD$90="Leve"),CONCATENATE("R29C",'Mapa final'!$R$90),"")</f>
        <v/>
      </c>
      <c r="M34" s="105" t="str">
        <f>IF(AND('Mapa final'!$AB$88="Muy Alta",'Mapa final'!$AD$88="Menor"),CONCATENATE("R29C",'Mapa final'!$R$88),"")</f>
        <v/>
      </c>
      <c r="N34" s="42" t="str">
        <f>IF(AND('Mapa final'!$AB$89="Muy Alta",'Mapa final'!$AD$89="Menor"),CONCATENATE("R29C",'Mapa final'!$R$89),"")</f>
        <v/>
      </c>
      <c r="O34" s="106" t="str">
        <f>IF(AND('Mapa final'!$AB$90="Muy Alta",'Mapa final'!$AD$90="Menor"),CONCATENATE("R29C",'Mapa final'!$R$90),"")</f>
        <v/>
      </c>
      <c r="P34" s="105" t="str">
        <f>IF(AND('Mapa final'!$AB$88="Muy Alta",'Mapa final'!$AD$88="Moderado"),CONCATENATE("R29C",'Mapa final'!$R$88),"")</f>
        <v/>
      </c>
      <c r="Q34" s="42" t="str">
        <f>IF(AND('Mapa final'!$AB$89="Muy Alta",'Mapa final'!$AD$89="Moderado"),CONCATENATE("R29C",'Mapa final'!$R$89),"")</f>
        <v/>
      </c>
      <c r="R34" s="106" t="str">
        <f>IF(AND('Mapa final'!$AB$90="Muy Alta",'Mapa final'!$AD$90="Moderado"),CONCATENATE("R29C",'Mapa final'!$R$90),"")</f>
        <v/>
      </c>
      <c r="S34" s="105" t="str">
        <f>IF(AND('Mapa final'!$AB$88="Muy Alta",'Mapa final'!$AD$88="Mayor"),CONCATENATE("R29C",'Mapa final'!$R$88),"")</f>
        <v/>
      </c>
      <c r="T34" s="42" t="str">
        <f>IF(AND('Mapa final'!$AB$89="Muy Alta",'Mapa final'!$AD$89="Mayor"),CONCATENATE("R29C",'Mapa final'!$R$89),"")</f>
        <v/>
      </c>
      <c r="U34" s="106" t="str">
        <f>IF(AND('Mapa final'!$AB$90="Muy Alta",'Mapa final'!$AD$90="Mayor"),CONCATENATE("R29C",'Mapa final'!$R$90),"")</f>
        <v/>
      </c>
      <c r="V34" s="43" t="str">
        <f>IF(AND('Mapa final'!$AB$88="Muy Alta",'Mapa final'!$AD$88="Catastrófico"),CONCATENATE("R29C",'Mapa final'!$R$88),"")</f>
        <v/>
      </c>
      <c r="W34" s="44" t="str">
        <f>IF(AND('Mapa final'!$AB$89="Muy Alta",'Mapa final'!$AD$89="Catastrófico"),CONCATENATE("R29C",'Mapa final'!$R$89),"")</f>
        <v/>
      </c>
      <c r="X34" s="100" t="str">
        <f>IF(AND('Mapa final'!$AB$90="Muy Alta",'Mapa final'!$AD$90="Catastrófico"),CONCATENATE("R29C",'Mapa final'!$R$90),"")</f>
        <v/>
      </c>
      <c r="Y34" s="56"/>
      <c r="Z34" s="301"/>
      <c r="AA34" s="302"/>
      <c r="AB34" s="302"/>
      <c r="AC34" s="302"/>
      <c r="AD34" s="302"/>
      <c r="AE34" s="303"/>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row>
    <row r="35" spans="1:61" ht="15" customHeight="1" x14ac:dyDescent="0.35">
      <c r="A35" s="56"/>
      <c r="B35" s="307"/>
      <c r="C35" s="307"/>
      <c r="D35" s="308"/>
      <c r="E35" s="284"/>
      <c r="F35" s="297"/>
      <c r="G35" s="297"/>
      <c r="H35" s="297"/>
      <c r="I35" s="279"/>
      <c r="J35" s="105" t="str">
        <f>IF(AND('Mapa final'!$AB$91="Muy Alta",'Mapa final'!$AD$91="Leve"),CONCATENATE("R30C",'Mapa final'!$R$91),"")</f>
        <v/>
      </c>
      <c r="K35" s="42" t="str">
        <f>IF(AND('Mapa final'!$AB$92="Muy Alta",'Mapa final'!$AD$92="Leve"),CONCATENATE("R30C",'Mapa final'!$R$92),"")</f>
        <v/>
      </c>
      <c r="L35" s="106" t="str">
        <f>IF(AND('Mapa final'!$AB$93="Muy Alta",'Mapa final'!$AD$93="Leve"),CONCATENATE("R30C",'Mapa final'!$R$93),"")</f>
        <v/>
      </c>
      <c r="M35" s="105" t="str">
        <f>IF(AND('Mapa final'!$AB$91="Muy Alta",'Mapa final'!$AD$91="Menor"),CONCATENATE("R30C",'Mapa final'!$R$91),"")</f>
        <v/>
      </c>
      <c r="N35" s="42" t="str">
        <f>IF(AND('Mapa final'!$AB$92="Muy Alta",'Mapa final'!$AD$92="Menor"),CONCATENATE("R30C",'Mapa final'!$R$92),"")</f>
        <v/>
      </c>
      <c r="O35" s="106" t="str">
        <f>IF(AND('Mapa final'!$AB$93="Muy Alta",'Mapa final'!$AD$93="Menor"),CONCATENATE("R30C",'Mapa final'!$R$93),"")</f>
        <v/>
      </c>
      <c r="P35" s="105" t="str">
        <f>IF(AND('Mapa final'!$AB$91="Muy Alta",'Mapa final'!$AD$91="Moderado"),CONCATENATE("R30C",'Mapa final'!$R$91),"")</f>
        <v/>
      </c>
      <c r="Q35" s="42" t="str">
        <f>IF(AND('Mapa final'!$AB$92="Muy Alta",'Mapa final'!$AD$92="Moderado"),CONCATENATE("R30C",'Mapa final'!$R$92),"")</f>
        <v/>
      </c>
      <c r="R35" s="106" t="str">
        <f>IF(AND('Mapa final'!$AB$93="Muy Alta",'Mapa final'!$AD$93="Moderado"),CONCATENATE("R30C",'Mapa final'!$R$93),"")</f>
        <v/>
      </c>
      <c r="S35" s="105" t="str">
        <f>IF(AND('Mapa final'!$AB$91="Muy Alta",'Mapa final'!$AD$91="Mayor"),CONCATENATE("R30C",'Mapa final'!$R$91),"")</f>
        <v/>
      </c>
      <c r="T35" s="42" t="str">
        <f>IF(AND('Mapa final'!$AB$92="Muy Alta",'Mapa final'!$AD$92="Mayor"),CONCATENATE("R30C",'Mapa final'!$R$92),"")</f>
        <v/>
      </c>
      <c r="U35" s="106" t="str">
        <f>IF(AND('Mapa final'!$AB$93="Muy Alta",'Mapa final'!$AD$93="Mayor"),CONCATENATE("R30C",'Mapa final'!$R$93),"")</f>
        <v/>
      </c>
      <c r="V35" s="43" t="str">
        <f>IF(AND('Mapa final'!$AB$91="Muy Alta",'Mapa final'!$AD$91="Catastrófico"),CONCATENATE("R30C",'Mapa final'!$R$91),"")</f>
        <v/>
      </c>
      <c r="W35" s="44" t="str">
        <f>IF(AND('Mapa final'!$AB$92="Muy Alta",'Mapa final'!$AD$92="Catastrófico"),CONCATENATE("R30C",'Mapa final'!$R$92),"")</f>
        <v/>
      </c>
      <c r="X35" s="100" t="str">
        <f>IF(AND('Mapa final'!$AB$93="Muy Alta",'Mapa final'!$AD$93="Catastrófico"),CONCATENATE("R30C",'Mapa final'!$R$93),"")</f>
        <v/>
      </c>
      <c r="Y35" s="56"/>
      <c r="Z35" s="301"/>
      <c r="AA35" s="302"/>
      <c r="AB35" s="302"/>
      <c r="AC35" s="302"/>
      <c r="AD35" s="302"/>
      <c r="AE35" s="303"/>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row>
    <row r="36" spans="1:61" ht="15" customHeight="1" x14ac:dyDescent="0.35">
      <c r="A36" s="56"/>
      <c r="B36" s="307"/>
      <c r="C36" s="307"/>
      <c r="D36" s="308"/>
      <c r="E36" s="284"/>
      <c r="F36" s="297"/>
      <c r="G36" s="297"/>
      <c r="H36" s="297"/>
      <c r="I36" s="279"/>
      <c r="J36" s="105" t="str">
        <f>IF(AND('Mapa final'!$AB$94="Muy Alta",'Mapa final'!$AD$94="Leve"),CONCATENATE("R31C",'Mapa final'!$R$94),"")</f>
        <v/>
      </c>
      <c r="K36" s="42" t="str">
        <f>IF(AND('Mapa final'!$AB$95="Muy Alta",'Mapa final'!$AD$95="Leve"),CONCATENATE("R31C",'Mapa final'!$R$95),"")</f>
        <v/>
      </c>
      <c r="L36" s="106" t="str">
        <f>IF(AND('Mapa final'!$AB$96="Muy Alta",'Mapa final'!$AD$96="Leve"),CONCATENATE("R31C",'Mapa final'!$R$96),"")</f>
        <v/>
      </c>
      <c r="M36" s="105" t="str">
        <f>IF(AND('Mapa final'!$AB$94="Muy Alta",'Mapa final'!$AD$94="Menor"),CONCATENATE("R31C",'Mapa final'!$R$94),"")</f>
        <v/>
      </c>
      <c r="N36" s="42" t="str">
        <f>IF(AND('Mapa final'!$AB$95="Muy Alta",'Mapa final'!$AD$95="Menor"),CONCATENATE("R31C",'Mapa final'!$R$95),"")</f>
        <v/>
      </c>
      <c r="O36" s="106" t="str">
        <f>IF(AND('Mapa final'!$AB$96="Muy Alta",'Mapa final'!$AD$96="Menor"),CONCATENATE("R31C",'Mapa final'!$R$96),"")</f>
        <v/>
      </c>
      <c r="P36" s="105" t="str">
        <f>IF(AND('Mapa final'!$AB$94="Muy Alta",'Mapa final'!$AD$94="Moderado"),CONCATENATE("R31C",'Mapa final'!$R$94),"")</f>
        <v/>
      </c>
      <c r="Q36" s="42" t="str">
        <f>IF(AND('Mapa final'!$AB$95="Muy Alta",'Mapa final'!$AD$95="Moderado"),CONCATENATE("R31C",'Mapa final'!$R$95),"")</f>
        <v/>
      </c>
      <c r="R36" s="106" t="str">
        <f>IF(AND('Mapa final'!$AB$96="Muy Alta",'Mapa final'!$AD$96="Moderado"),CONCATENATE("R31C",'Mapa final'!$R$96),"")</f>
        <v/>
      </c>
      <c r="S36" s="105" t="str">
        <f>IF(AND('Mapa final'!$AB$94="Muy Alta",'Mapa final'!$AD$94="Mayor"),CONCATENATE("R31C",'Mapa final'!$R$94),"")</f>
        <v/>
      </c>
      <c r="T36" s="42" t="str">
        <f>IF(AND('Mapa final'!$AB$95="Muy Alta",'Mapa final'!$AD$95="Mayor"),CONCATENATE("R31C",'Mapa final'!$R$95),"")</f>
        <v/>
      </c>
      <c r="U36" s="106" t="str">
        <f>IF(AND('Mapa final'!$AB$96="Muy Alta",'Mapa final'!$AD$96="Mayor"),CONCATENATE("R31C",'Mapa final'!$R$96),"")</f>
        <v/>
      </c>
      <c r="V36" s="43" t="str">
        <f>IF(AND('Mapa final'!$AB$94="Muy Alta",'Mapa final'!$AD$94="Catastrófico"),CONCATENATE("R31C",'Mapa final'!$R$94),"")</f>
        <v/>
      </c>
      <c r="W36" s="44" t="str">
        <f>IF(AND('Mapa final'!$AB$95="Muy Alta",'Mapa final'!$AD$95="Catastrófico"),CONCATENATE("R31C",'Mapa final'!$R$95),"")</f>
        <v/>
      </c>
      <c r="X36" s="100" t="str">
        <f>IF(AND('Mapa final'!$AB$96="Muy Alta",'Mapa final'!$AD$96="Catastrófico"),CONCATENATE("R31C",'Mapa final'!$R$96),"")</f>
        <v/>
      </c>
      <c r="Y36" s="56"/>
      <c r="Z36" s="301"/>
      <c r="AA36" s="302"/>
      <c r="AB36" s="302"/>
      <c r="AC36" s="302"/>
      <c r="AD36" s="302"/>
      <c r="AE36" s="303"/>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row>
    <row r="37" spans="1:61" ht="15" customHeight="1" x14ac:dyDescent="0.35">
      <c r="A37" s="56"/>
      <c r="B37" s="307"/>
      <c r="C37" s="307"/>
      <c r="D37" s="308"/>
      <c r="E37" s="284"/>
      <c r="F37" s="297"/>
      <c r="G37" s="297"/>
      <c r="H37" s="297"/>
      <c r="I37" s="279"/>
      <c r="J37" s="105" t="e">
        <f>IF(AND('Mapa final'!#REF!="Muy Alta",'Mapa final'!#REF!="Leve"),CONCATENATE("R32C",'Mapa final'!#REF!),"")</f>
        <v>#REF!</v>
      </c>
      <c r="K37" s="42" t="e">
        <f>IF(AND('Mapa final'!#REF!="Muy Alta",'Mapa final'!#REF!="Leve"),CONCATENATE("R32C",'Mapa final'!#REF!),"")</f>
        <v>#REF!</v>
      </c>
      <c r="L37" s="42" t="e">
        <f>IF(AND('Mapa final'!#REF!="Muy Alta",'Mapa final'!#REF!="Leve"),CONCATENATE("R32C",'Mapa final'!#REF!),"")</f>
        <v>#REF!</v>
      </c>
      <c r="M37" s="105" t="e">
        <f>IF(AND('Mapa final'!#REF!="Muy Alta",'Mapa final'!#REF!="Menor"),CONCATENATE("R32C",'Mapa final'!#REF!),"")</f>
        <v>#REF!</v>
      </c>
      <c r="N37" s="42" t="e">
        <f>IF(AND('Mapa final'!#REF!="Muy Alta",'Mapa final'!#REF!="Menor"),CONCATENATE("R32C",'Mapa final'!#REF!),"")</f>
        <v>#REF!</v>
      </c>
      <c r="O37" s="42" t="e">
        <f>IF(AND('Mapa final'!#REF!="Muy Alta",'Mapa final'!#REF!="Menor"),CONCATENATE("R32C",'Mapa final'!#REF!),"")</f>
        <v>#REF!</v>
      </c>
      <c r="P37" s="105" t="e">
        <f>IF(AND('Mapa final'!#REF!="Muy Alta",'Mapa final'!#REF!="Moderado"),CONCATENATE("R32C",'Mapa final'!#REF!),"")</f>
        <v>#REF!</v>
      </c>
      <c r="Q37" s="42" t="e">
        <f>IF(AND('Mapa final'!#REF!="Muy Alta",'Mapa final'!#REF!="Moderado"),CONCATENATE("R32C",'Mapa final'!#REF!),"")</f>
        <v>#REF!</v>
      </c>
      <c r="R37" s="42" t="e">
        <f>IF(AND('Mapa final'!#REF!="Muy Alta",'Mapa final'!#REF!="Moderado"),CONCATENATE("R32C",'Mapa final'!#REF!),"")</f>
        <v>#REF!</v>
      </c>
      <c r="S37" s="105" t="e">
        <f>IF(AND('Mapa final'!#REF!="Muy Alta",'Mapa final'!#REF!="Mayor"),CONCATENATE("R32C",'Mapa final'!#REF!),"")</f>
        <v>#REF!</v>
      </c>
      <c r="T37" s="42" t="e">
        <f>IF(AND('Mapa final'!#REF!="Muy Alta",'Mapa final'!#REF!="Mayor"),CONCATENATE("R32C",'Mapa final'!#REF!),"")</f>
        <v>#REF!</v>
      </c>
      <c r="U37" s="106" t="e">
        <f>IF(AND('Mapa final'!#REF!="Muy Alta",'Mapa final'!#REF!="Mayor"),CONCATENATE("R32C",'Mapa final'!#REF!),"")</f>
        <v>#REF!</v>
      </c>
      <c r="V37" s="43" t="e">
        <f>IF(AND('Mapa final'!#REF!="Muy Alta",'Mapa final'!#REF!="Catastrófico"),CONCATENATE("R32C",'Mapa final'!#REF!),"")</f>
        <v>#REF!</v>
      </c>
      <c r="W37" s="44" t="e">
        <f>IF(AND('Mapa final'!#REF!="Muy Alta",'Mapa final'!#REF!="Catastrófico"),CONCATENATE("R32C",'Mapa final'!#REF!),"")</f>
        <v>#REF!</v>
      </c>
      <c r="X37" s="100" t="e">
        <f>IF(AND('Mapa final'!#REF!="Muy Alta",'Mapa final'!#REF!="Catastrófico"),CONCATENATE("R32C",'Mapa final'!#REF!),"")</f>
        <v>#REF!</v>
      </c>
      <c r="Y37" s="56"/>
      <c r="Z37" s="301"/>
      <c r="AA37" s="302"/>
      <c r="AB37" s="302"/>
      <c r="AC37" s="302"/>
      <c r="AD37" s="302"/>
      <c r="AE37" s="303"/>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row>
    <row r="38" spans="1:61" ht="15" customHeight="1" x14ac:dyDescent="0.35">
      <c r="A38" s="56"/>
      <c r="B38" s="307"/>
      <c r="C38" s="307"/>
      <c r="D38" s="308"/>
      <c r="E38" s="284"/>
      <c r="F38" s="297"/>
      <c r="G38" s="297"/>
      <c r="H38" s="297"/>
      <c r="I38" s="279"/>
      <c r="J38" s="105" t="str">
        <f>IF(AND('Mapa final'!$AB$97="Muy Alta",'Mapa final'!$AD$97="Leve"),CONCATENATE("R33C",'Mapa final'!$R$97),"")</f>
        <v/>
      </c>
      <c r="K38" s="42" t="str">
        <f>IF(AND('Mapa final'!$AB$98="Muy Alta",'Mapa final'!$AD$98="Leve"),CONCATENATE("R33C",'Mapa final'!$R$98),"")</f>
        <v/>
      </c>
      <c r="L38" s="42" t="str">
        <f>IF(AND('Mapa final'!$AB$99="Muy Alta",'Mapa final'!$AD$99="Leve"),CONCATENATE("R33C",'Mapa final'!$R$99),"")</f>
        <v/>
      </c>
      <c r="M38" s="105" t="str">
        <f>IF(AND('Mapa final'!$AB$97="Muy Alta",'Mapa final'!$AD$97="Menor"),CONCATENATE("R33C",'Mapa final'!$R$97),"")</f>
        <v/>
      </c>
      <c r="N38" s="42" t="str">
        <f>IF(AND('Mapa final'!$AB$98="Muy Alta",'Mapa final'!$AD$98="Menor"),CONCATENATE("R33C",'Mapa final'!$R$98),"")</f>
        <v/>
      </c>
      <c r="O38" s="42" t="str">
        <f>IF(AND('Mapa final'!$AB$99="Muy Alta",'Mapa final'!$AD$99="Menor"),CONCATENATE("R33C",'Mapa final'!$R$99),"")</f>
        <v/>
      </c>
      <c r="P38" s="105" t="str">
        <f>IF(AND('Mapa final'!$AB$97="Muy Alta",'Mapa final'!$AD$97="Moderado"),CONCATENATE("R33C",'Mapa final'!$R$97),"")</f>
        <v/>
      </c>
      <c r="Q38" s="42" t="str">
        <f>IF(AND('Mapa final'!$AB$98="Muy Alta",'Mapa final'!$AD$98="Moderado"),CONCATENATE("R33C",'Mapa final'!$R$98),"")</f>
        <v/>
      </c>
      <c r="R38" s="42" t="str">
        <f>IF(AND('Mapa final'!$AB$99="Muy Alta",'Mapa final'!$AD$99="Moderado"),CONCATENATE("R33C",'Mapa final'!$R$99),"")</f>
        <v/>
      </c>
      <c r="S38" s="105" t="str">
        <f>IF(AND('Mapa final'!$AB$97="Muy Alta",'Mapa final'!$AD$97="Mayor"),CONCATENATE("R33C",'Mapa final'!$R$97),"")</f>
        <v/>
      </c>
      <c r="T38" s="42" t="str">
        <f>IF(AND('Mapa final'!$AB$98="Muy Alta",'Mapa final'!$AD$98="Mayor"),CONCATENATE("R33C",'Mapa final'!$R$98),"")</f>
        <v/>
      </c>
      <c r="U38" s="106" t="str">
        <f>IF(AND('Mapa final'!$AB$99="Muy Alta",'Mapa final'!$AD$99="Mayor"),CONCATENATE("R33C",'Mapa final'!$R$99),"")</f>
        <v/>
      </c>
      <c r="V38" s="43" t="str">
        <f>IF(AND('Mapa final'!$AB$97="Muy Alta",'Mapa final'!$AD$97="Catastrófico"),CONCATENATE("R33C",'Mapa final'!$R$97),"")</f>
        <v/>
      </c>
      <c r="W38" s="44" t="str">
        <f>IF(AND('Mapa final'!$AB$98="Muy Alta",'Mapa final'!$AD$98="Catastrófico"),CONCATENATE("R33C",'Mapa final'!$R$98),"")</f>
        <v/>
      </c>
      <c r="X38" s="100" t="str">
        <f>IF(AND('Mapa final'!$AB$99="Muy Alta",'Mapa final'!$AD$99="Catastrófico"),CONCATENATE("R33C",'Mapa final'!$R$99),"")</f>
        <v/>
      </c>
      <c r="Y38" s="56"/>
      <c r="Z38" s="301"/>
      <c r="AA38" s="302"/>
      <c r="AB38" s="302"/>
      <c r="AC38" s="302"/>
      <c r="AD38" s="302"/>
      <c r="AE38" s="303"/>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row>
    <row r="39" spans="1:61" ht="15" customHeight="1" x14ac:dyDescent="0.35">
      <c r="A39" s="56"/>
      <c r="B39" s="307"/>
      <c r="C39" s="307"/>
      <c r="D39" s="308"/>
      <c r="E39" s="284"/>
      <c r="F39" s="297"/>
      <c r="G39" s="297"/>
      <c r="H39" s="297"/>
      <c r="I39" s="279"/>
      <c r="J39" s="105" t="str">
        <f>IF(AND('Mapa final'!$AB$100="Muy Alta",'Mapa final'!$AD$100="Leve"),CONCATENATE("R34C",'Mapa final'!$R$100),"")</f>
        <v/>
      </c>
      <c r="K39" s="42" t="str">
        <f>IF(AND('Mapa final'!$AB$101="Muy Alta",'Mapa final'!$AD$101="Leve"),CONCATENATE("R34C",'Mapa final'!$R$101),"")</f>
        <v/>
      </c>
      <c r="L39" s="106" t="str">
        <f>IF(AND('Mapa final'!$AB$102="Muy Alta",'Mapa final'!$AD$102="Leve"),CONCATENATE("R34C",'Mapa final'!$R$102),"")</f>
        <v/>
      </c>
      <c r="M39" s="105" t="str">
        <f>IF(AND('Mapa final'!$AB$100="Muy Alta",'Mapa final'!$AD$100="Menor"),CONCATENATE("R34C",'Mapa final'!$R$100),"")</f>
        <v/>
      </c>
      <c r="N39" s="42" t="str">
        <f>IF(AND('Mapa final'!$AB$101="Muy Alta",'Mapa final'!$AD$101="Menor"),CONCATENATE("R34C",'Mapa final'!$R$101),"")</f>
        <v/>
      </c>
      <c r="O39" s="106" t="str">
        <f>IF(AND('Mapa final'!$AB$102="Muy Alta",'Mapa final'!$AD$102="Menor"),CONCATENATE("R34C",'Mapa final'!$R$102),"")</f>
        <v/>
      </c>
      <c r="P39" s="105" t="str">
        <f>IF(AND('Mapa final'!$AB$100="Muy Alta",'Mapa final'!$AD$100="Moderado"),CONCATENATE("R34C",'Mapa final'!$R$100),"")</f>
        <v/>
      </c>
      <c r="Q39" s="42" t="str">
        <f>IF(AND('Mapa final'!$AB$101="Muy Alta",'Mapa final'!$AD$101="Moderado"),CONCATENATE("R34C",'Mapa final'!$R$101),"")</f>
        <v/>
      </c>
      <c r="R39" s="106" t="str">
        <f>IF(AND('Mapa final'!$AB$102="Muy Alta",'Mapa final'!$AD$102="Moderado"),CONCATENATE("R34C",'Mapa final'!$R$102),"")</f>
        <v/>
      </c>
      <c r="S39" s="105" t="str">
        <f>IF(AND('Mapa final'!$AB$100="Muy Alta",'Mapa final'!$AD$100="Mayor"),CONCATENATE("R34C",'Mapa final'!$R$100),"")</f>
        <v/>
      </c>
      <c r="T39" s="42" t="str">
        <f>IF(AND('Mapa final'!$AB$101="Muy Alta",'Mapa final'!$AD$101="Mayor"),CONCATENATE("R34C",'Mapa final'!$R$101),"")</f>
        <v/>
      </c>
      <c r="U39" s="106" t="str">
        <f>IF(AND('Mapa final'!$AB$102="Muy Alta",'Mapa final'!$AD$102="Mayor"),CONCATENATE("R34C",'Mapa final'!$R$102),"")</f>
        <v/>
      </c>
      <c r="V39" s="43" t="str">
        <f>IF(AND('Mapa final'!$AB$100="Muy Alta",'Mapa final'!$AD$100="Catastrófico"),CONCATENATE("R34C",'Mapa final'!$R$100),"")</f>
        <v/>
      </c>
      <c r="W39" s="44" t="str">
        <f>IF(AND('Mapa final'!$AB$101="Muy Alta",'Mapa final'!$AD$101="Catastrófico"),CONCATENATE("R34C",'Mapa final'!$R$101),"")</f>
        <v/>
      </c>
      <c r="X39" s="100" t="str">
        <f>IF(AND('Mapa final'!$AB$102="Muy Alta",'Mapa final'!$AD$102="Catastrófico"),CONCATENATE("R34C",'Mapa final'!$R$102),"")</f>
        <v/>
      </c>
      <c r="Y39" s="56"/>
      <c r="Z39" s="301"/>
      <c r="AA39" s="302"/>
      <c r="AB39" s="302"/>
      <c r="AC39" s="302"/>
      <c r="AD39" s="302"/>
      <c r="AE39" s="303"/>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row>
    <row r="40" spans="1:61" ht="15" customHeight="1" x14ac:dyDescent="0.35">
      <c r="A40" s="56"/>
      <c r="B40" s="307"/>
      <c r="C40" s="307"/>
      <c r="D40" s="308"/>
      <c r="E40" s="284"/>
      <c r="F40" s="297"/>
      <c r="G40" s="297"/>
      <c r="H40" s="297"/>
      <c r="I40" s="279"/>
      <c r="J40" s="105" t="str">
        <f>IF(AND('Mapa final'!$AB$103="Muy Alta",'Mapa final'!$AD$103="Leve"),CONCATENATE("R35C",'Mapa final'!$R$103),"")</f>
        <v/>
      </c>
      <c r="K40" s="42" t="str">
        <f>IF(AND('Mapa final'!$AB$104="Muy Alta",'Mapa final'!$AD$104="Leve"),CONCATENATE("R35C",'Mapa final'!$R$104),"")</f>
        <v/>
      </c>
      <c r="L40" s="106" t="str">
        <f>IF(AND('Mapa final'!$AB$105="Muy Alta",'Mapa final'!$AD$105="Leve"),CONCATENATE("R35C",'Mapa final'!$R$105),"")</f>
        <v/>
      </c>
      <c r="M40" s="105" t="str">
        <f>IF(AND('Mapa final'!$AB$103="Muy Alta",'Mapa final'!$AD$103="Menor"),CONCATENATE("R35C",'Mapa final'!$R$103),"")</f>
        <v/>
      </c>
      <c r="N40" s="42" t="str">
        <f>IF(AND('Mapa final'!$AB$104="Muy Alta",'Mapa final'!$AD$104="Menor"),CONCATENATE("R35C",'Mapa final'!$R$104),"")</f>
        <v/>
      </c>
      <c r="O40" s="106" t="str">
        <f>IF(AND('Mapa final'!$AB$105="Muy Alta",'Mapa final'!$AD$105="Menor"),CONCATENATE("R35C",'Mapa final'!$R$105),"")</f>
        <v/>
      </c>
      <c r="P40" s="105" t="str">
        <f>IF(AND('Mapa final'!$AB$103="Muy Alta",'Mapa final'!$AD$103="Moderado"),CONCATENATE("R35C",'Mapa final'!$R$103),"")</f>
        <v/>
      </c>
      <c r="Q40" s="42" t="str">
        <f>IF(AND('Mapa final'!$AB$104="Muy Alta",'Mapa final'!$AD$104="Moderado"),CONCATENATE("R35C",'Mapa final'!$R$104),"")</f>
        <v/>
      </c>
      <c r="R40" s="106" t="str">
        <f>IF(AND('Mapa final'!$AB$105="Muy Alta",'Mapa final'!$AD$105="Moderado"),CONCATENATE("R35C",'Mapa final'!$R$105),"")</f>
        <v/>
      </c>
      <c r="S40" s="105" t="str">
        <f>IF(AND('Mapa final'!$AB$103="Muy Alta",'Mapa final'!$AD$103="Mayor"),CONCATENATE("R35C",'Mapa final'!$R$103),"")</f>
        <v/>
      </c>
      <c r="T40" s="42" t="str">
        <f>IF(AND('Mapa final'!$AB$104="Muy Alta",'Mapa final'!$AD$104="Mayor"),CONCATENATE("R35C",'Mapa final'!$R$104),"")</f>
        <v/>
      </c>
      <c r="U40" s="106" t="str">
        <f>IF(AND('Mapa final'!$AB$105="Muy Alta",'Mapa final'!$AD$105="Mayor"),CONCATENATE("R35C",'Mapa final'!$R$105),"")</f>
        <v/>
      </c>
      <c r="V40" s="43" t="str">
        <f>IF(AND('Mapa final'!$AB$103="Muy Alta",'Mapa final'!$AD$103="Catastrófico"),CONCATENATE("R35C",'Mapa final'!$R$103),"")</f>
        <v/>
      </c>
      <c r="W40" s="44" t="str">
        <f>IF(AND('Mapa final'!$AB$104="Muy Alta",'Mapa final'!$AD$104="Catastrófico"),CONCATENATE("R35C",'Mapa final'!$R$104),"")</f>
        <v/>
      </c>
      <c r="X40" s="100" t="str">
        <f>IF(AND('Mapa final'!$AB$105="Muy Alta",'Mapa final'!$AD$105="Catastrófico"),CONCATENATE("R35C",'Mapa final'!$R$105),"")</f>
        <v/>
      </c>
      <c r="Y40" s="56"/>
      <c r="Z40" s="301"/>
      <c r="AA40" s="302"/>
      <c r="AB40" s="302"/>
      <c r="AC40" s="302"/>
      <c r="AD40" s="302"/>
      <c r="AE40" s="303"/>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row>
    <row r="41" spans="1:61" ht="15" customHeight="1" x14ac:dyDescent="0.35">
      <c r="A41" s="56"/>
      <c r="B41" s="307"/>
      <c r="C41" s="307"/>
      <c r="D41" s="308"/>
      <c r="E41" s="284"/>
      <c r="F41" s="297"/>
      <c r="G41" s="297"/>
      <c r="H41" s="297"/>
      <c r="I41" s="279"/>
      <c r="J41" s="105" t="str">
        <f>IF(AND('Mapa final'!$AB$106="Muy Alta",'Mapa final'!$AD$106="Leve"),CONCATENATE("R36C",'Mapa final'!$R$106),"")</f>
        <v/>
      </c>
      <c r="K41" s="42" t="str">
        <f>IF(AND('Mapa final'!$AB$107="Muy Alta",'Mapa final'!$AD$107="Leve"),CONCATENATE("R36C",'Mapa final'!$R$107),"")</f>
        <v/>
      </c>
      <c r="L41" s="106" t="str">
        <f>IF(AND('Mapa final'!$AB$108="Muy Alta",'Mapa final'!$AD$108="Leve"),CONCATENATE("R36C",'Mapa final'!$R$108),"")</f>
        <v/>
      </c>
      <c r="M41" s="105" t="str">
        <f>IF(AND('Mapa final'!$AB$106="Muy Alta",'Mapa final'!$AD$106="Menor"),CONCATENATE("R36C",'Mapa final'!$R$106),"")</f>
        <v/>
      </c>
      <c r="N41" s="42" t="str">
        <f>IF(AND('Mapa final'!$AB$107="Muy Alta",'Mapa final'!$AD$107="Menor"),CONCATENATE("R36C",'Mapa final'!$R$107),"")</f>
        <v/>
      </c>
      <c r="O41" s="106" t="str">
        <f>IF(AND('Mapa final'!$AB$108="Muy Alta",'Mapa final'!$AD$108="Menor"),CONCATENATE("R36C",'Mapa final'!$R$108),"")</f>
        <v/>
      </c>
      <c r="P41" s="105" t="str">
        <f>IF(AND('Mapa final'!$AB$106="Muy Alta",'Mapa final'!$AD$106="Moderado"),CONCATENATE("R36C",'Mapa final'!$R$106),"")</f>
        <v/>
      </c>
      <c r="Q41" s="42" t="str">
        <f>IF(AND('Mapa final'!$AB$107="Muy Alta",'Mapa final'!$AD$107="Moderado"),CONCATENATE("R36C",'Mapa final'!$R$107),"")</f>
        <v/>
      </c>
      <c r="R41" s="106" t="str">
        <f>IF(AND('Mapa final'!$AB$108="Muy Alta",'Mapa final'!$AD$108="Moderado"),CONCATENATE("R36C",'Mapa final'!$R$108),"")</f>
        <v/>
      </c>
      <c r="S41" s="105" t="str">
        <f>IF(AND('Mapa final'!$AB$106="Muy Alta",'Mapa final'!$AD$106="Mayor"),CONCATENATE("R36C",'Mapa final'!$R$106),"")</f>
        <v/>
      </c>
      <c r="T41" s="42" t="str">
        <f>IF(AND('Mapa final'!$AB$107="Muy Alta",'Mapa final'!$AD$107="Mayor"),CONCATENATE("R36C",'Mapa final'!$R$107),"")</f>
        <v/>
      </c>
      <c r="U41" s="106" t="str">
        <f>IF(AND('Mapa final'!$AB$108="Muy Alta",'Mapa final'!$AD$108="Mayor"),CONCATENATE("R36C",'Mapa final'!$R$108),"")</f>
        <v/>
      </c>
      <c r="V41" s="43" t="str">
        <f>IF(AND('Mapa final'!$AB$106="Muy Alta",'Mapa final'!$AD$106="Catastrófico"),CONCATENATE("R36C",'Mapa final'!$R$106),"")</f>
        <v/>
      </c>
      <c r="W41" s="44" t="str">
        <f>IF(AND('Mapa final'!$AB$107="Muy Alta",'Mapa final'!$AD$107="Catastrófico"),CONCATENATE("R36C",'Mapa final'!$R$107),"")</f>
        <v/>
      </c>
      <c r="X41" s="100" t="str">
        <f>IF(AND('Mapa final'!$AB$108="Muy Alta",'Mapa final'!$AD$108="Catastrófico"),CONCATENATE("R36C",'Mapa final'!$R$108),"")</f>
        <v/>
      </c>
      <c r="Y41" s="56"/>
      <c r="Z41" s="301"/>
      <c r="AA41" s="302"/>
      <c r="AB41" s="302"/>
      <c r="AC41" s="302"/>
      <c r="AD41" s="302"/>
      <c r="AE41" s="303"/>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row>
    <row r="42" spans="1:61" ht="15" customHeight="1" x14ac:dyDescent="0.35">
      <c r="A42" s="56"/>
      <c r="B42" s="307"/>
      <c r="C42" s="307"/>
      <c r="D42" s="308"/>
      <c r="E42" s="284"/>
      <c r="F42" s="297"/>
      <c r="G42" s="297"/>
      <c r="H42" s="297"/>
      <c r="I42" s="279"/>
      <c r="J42" s="105" t="str">
        <f>IF(AND('Mapa final'!$AB$109="Muy Alta",'Mapa final'!$AD$109="Leve"),CONCATENATE("R37C",'Mapa final'!$R$109),"")</f>
        <v/>
      </c>
      <c r="K42" s="42" t="str">
        <f>IF(AND('Mapa final'!$AB$110="Muy Alta",'Mapa final'!$AD$110="Leve"),CONCATENATE("R37C",'Mapa final'!$R$110),"")</f>
        <v/>
      </c>
      <c r="L42" s="106" t="str">
        <f>IF(AND('Mapa final'!$AB$111="Muy Alta",'Mapa final'!$AD$111="Leve"),CONCATENATE("R37C",'Mapa final'!$R$111),"")</f>
        <v/>
      </c>
      <c r="M42" s="105" t="str">
        <f>IF(AND('Mapa final'!$AB$109="Muy Alta",'Mapa final'!$AD$109="Menor"),CONCATENATE("R37C",'Mapa final'!$R$109),"")</f>
        <v/>
      </c>
      <c r="N42" s="42" t="str">
        <f>IF(AND('Mapa final'!$AB$110="Muy Alta",'Mapa final'!$AD$110="Menor"),CONCATENATE("R37C",'Mapa final'!$R$110),"")</f>
        <v/>
      </c>
      <c r="O42" s="106" t="str">
        <f>IF(AND('Mapa final'!$AB$111="Muy Alta",'Mapa final'!$AD$111="Menor"),CONCATENATE("R37C",'Mapa final'!$R$111),"")</f>
        <v/>
      </c>
      <c r="P42" s="105" t="str">
        <f>IF(AND('Mapa final'!$AB$109="Muy Alta",'Mapa final'!$AD$109="Moderado"),CONCATENATE("R37C",'Mapa final'!$R$109),"")</f>
        <v/>
      </c>
      <c r="Q42" s="42" t="str">
        <f>IF(AND('Mapa final'!$AB$110="Muy Alta",'Mapa final'!$AD$110="Moderado"),CONCATENATE("R37C",'Mapa final'!$R$110),"")</f>
        <v/>
      </c>
      <c r="R42" s="106" t="str">
        <f>IF(AND('Mapa final'!$AB$111="Muy Alta",'Mapa final'!$AD$111="Moderado"),CONCATENATE("R37C",'Mapa final'!$R$111),"")</f>
        <v/>
      </c>
      <c r="S42" s="105" t="str">
        <f>IF(AND('Mapa final'!$AB$109="Muy Alta",'Mapa final'!$AD$109="Mayor"),CONCATENATE("R37C",'Mapa final'!$R$109),"")</f>
        <v/>
      </c>
      <c r="T42" s="42" t="str">
        <f>IF(AND('Mapa final'!$AB$110="Muy Alta",'Mapa final'!$AD$110="Mayor"),CONCATENATE("R37C",'Mapa final'!$R$110),"")</f>
        <v/>
      </c>
      <c r="U42" s="106" t="str">
        <f>IF(AND('Mapa final'!$AB$111="Muy Alta",'Mapa final'!$AD$111="Mayor"),CONCATENATE("R37C",'Mapa final'!$R$111),"")</f>
        <v/>
      </c>
      <c r="V42" s="43" t="str">
        <f>IF(AND('Mapa final'!$AB$109="Muy Alta",'Mapa final'!$AD$109="Catastrófico"),CONCATENATE("R37C",'Mapa final'!$R$109),"")</f>
        <v/>
      </c>
      <c r="W42" s="44" t="str">
        <f>IF(AND('Mapa final'!$AB$110="Muy Alta",'Mapa final'!$AD$110="Catastrófico"),CONCATENATE("R37C",'Mapa final'!$R$110),"")</f>
        <v/>
      </c>
      <c r="X42" s="100" t="str">
        <f>IF(AND('Mapa final'!$AB$111="Muy Alta",'Mapa final'!$AD$111="Catastrófico"),CONCATENATE("R37C",'Mapa final'!$R$111),"")</f>
        <v/>
      </c>
      <c r="Y42" s="56"/>
      <c r="Z42" s="301"/>
      <c r="AA42" s="302"/>
      <c r="AB42" s="302"/>
      <c r="AC42" s="302"/>
      <c r="AD42" s="302"/>
      <c r="AE42" s="303"/>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row>
    <row r="43" spans="1:61" ht="15" customHeight="1" x14ac:dyDescent="0.35">
      <c r="A43" s="56"/>
      <c r="B43" s="307"/>
      <c r="C43" s="307"/>
      <c r="D43" s="308"/>
      <c r="E43" s="284"/>
      <c r="F43" s="297"/>
      <c r="G43" s="297"/>
      <c r="H43" s="297"/>
      <c r="I43" s="279"/>
      <c r="J43" s="105" t="str">
        <f>IF(AND('Mapa final'!$AB$112="Muy Alta",'Mapa final'!$AD$112="Leve"),CONCATENATE("R38C",'Mapa final'!$R$112),"")</f>
        <v/>
      </c>
      <c r="K43" s="42" t="str">
        <f>IF(AND('Mapa final'!$AB$113="Muy Alta",'Mapa final'!$AD$113="Leve"),CONCATENATE("R38C",'Mapa final'!$R$113),"")</f>
        <v/>
      </c>
      <c r="L43" s="106" t="str">
        <f>IF(AND('Mapa final'!$AB$114="Muy Alta",'Mapa final'!$AD$114="Leve"),CONCATENATE("R38C",'Mapa final'!$R$114),"")</f>
        <v/>
      </c>
      <c r="M43" s="105" t="str">
        <f>IF(AND('Mapa final'!$AB$112="Muy Alta",'Mapa final'!$AD$112="Menor"),CONCATENATE("R38C",'Mapa final'!$R$112),"")</f>
        <v/>
      </c>
      <c r="N43" s="42" t="str">
        <f>IF(AND('Mapa final'!$AB$113="Muy Alta",'Mapa final'!$AD$113="Menor"),CONCATENATE("R38C",'Mapa final'!$R$113),"")</f>
        <v/>
      </c>
      <c r="O43" s="106" t="str">
        <f>IF(AND('Mapa final'!$AB$114="Muy Alta",'Mapa final'!$AD$114="Menor"),CONCATENATE("R38C",'Mapa final'!$R$114),"")</f>
        <v/>
      </c>
      <c r="P43" s="105" t="str">
        <f>IF(AND('Mapa final'!$AB$112="Muy Alta",'Mapa final'!$AD$112="Moderado"),CONCATENATE("R38C",'Mapa final'!$R$112),"")</f>
        <v/>
      </c>
      <c r="Q43" s="42" t="str">
        <f>IF(AND('Mapa final'!$AB$113="Muy Alta",'Mapa final'!$AD$113="Moderado"),CONCATENATE("R38C",'Mapa final'!$R$113),"")</f>
        <v/>
      </c>
      <c r="R43" s="106" t="str">
        <f>IF(AND('Mapa final'!$AB$114="Muy Alta",'Mapa final'!$AD$114="Moderado"),CONCATENATE("R38C",'Mapa final'!$R$114),"")</f>
        <v/>
      </c>
      <c r="S43" s="105" t="str">
        <f>IF(AND('Mapa final'!$AB$112="Muy Alta",'Mapa final'!$AD$112="Mayor"),CONCATENATE("R38C",'Mapa final'!$R$112),"")</f>
        <v/>
      </c>
      <c r="T43" s="42" t="str">
        <f>IF(AND('Mapa final'!$AB$113="Muy Alta",'Mapa final'!$AD$113="Mayor"),CONCATENATE("R38C",'Mapa final'!$R$113),"")</f>
        <v/>
      </c>
      <c r="U43" s="106" t="str">
        <f>IF(AND('Mapa final'!$AB$114="Muy Alta",'Mapa final'!$AD$114="Mayor"),CONCATENATE("R38C",'Mapa final'!$R$114),"")</f>
        <v/>
      </c>
      <c r="V43" s="43" t="str">
        <f>IF(AND('Mapa final'!$AB$112="Muy Alta",'Mapa final'!$AD$112="Catastrófico"),CONCATENATE("R38C",'Mapa final'!$R$112),"")</f>
        <v/>
      </c>
      <c r="W43" s="44" t="str">
        <f>IF(AND('Mapa final'!$AB$113="Muy Alta",'Mapa final'!$AD$113="Catastrófico"),CONCATENATE("R38C",'Mapa final'!$R$113),"")</f>
        <v/>
      </c>
      <c r="X43" s="100" t="str">
        <f>IF(AND('Mapa final'!$AB$114="Muy Alta",'Mapa final'!$AD$114="Catastrófico"),CONCATENATE("R38C",'Mapa final'!$R$114),"")</f>
        <v/>
      </c>
      <c r="Y43" s="56"/>
      <c r="Z43" s="301"/>
      <c r="AA43" s="302"/>
      <c r="AB43" s="302"/>
      <c r="AC43" s="302"/>
      <c r="AD43" s="302"/>
      <c r="AE43" s="303"/>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row>
    <row r="44" spans="1:61" ht="15" customHeight="1" x14ac:dyDescent="0.35">
      <c r="A44" s="56"/>
      <c r="B44" s="307"/>
      <c r="C44" s="307"/>
      <c r="D44" s="308"/>
      <c r="E44" s="284"/>
      <c r="F44" s="297"/>
      <c r="G44" s="297"/>
      <c r="H44" s="297"/>
      <c r="I44" s="279"/>
      <c r="J44" s="105" t="str">
        <f>IF(AND('Mapa final'!$AB$115="Muy Alta",'Mapa final'!$AD$115="Leve"),CONCATENATE("R39C",'Mapa final'!$R$115),"")</f>
        <v/>
      </c>
      <c r="K44" s="42" t="str">
        <f>IF(AND('Mapa final'!$AB$116="Muy Alta",'Mapa final'!$AD$116="Leve"),CONCATENATE("R39C",'Mapa final'!$R$116),"")</f>
        <v/>
      </c>
      <c r="L44" s="106" t="str">
        <f>IF(AND('Mapa final'!$AB$117="Muy Alta",'Mapa final'!$AD$117="Leve"),CONCATENATE("R39C",'Mapa final'!$R$117),"")</f>
        <v/>
      </c>
      <c r="M44" s="105" t="str">
        <f>IF(AND('Mapa final'!$AB$115="Muy Alta",'Mapa final'!$AD$115="Menor"),CONCATENATE("R39C",'Mapa final'!$R$115),"")</f>
        <v/>
      </c>
      <c r="N44" s="42" t="str">
        <f>IF(AND('Mapa final'!$AB$116="Muy Alta",'Mapa final'!$AD$116="Menor"),CONCATENATE("R39C",'Mapa final'!$R$116),"")</f>
        <v/>
      </c>
      <c r="O44" s="106" t="str">
        <f>IF(AND('Mapa final'!$AB$117="Muy Alta",'Mapa final'!$AD$117="Menor"),CONCATENATE("R39C",'Mapa final'!$R$117),"")</f>
        <v/>
      </c>
      <c r="P44" s="105" t="str">
        <f>IF(AND('Mapa final'!$AB$115="Muy Alta",'Mapa final'!$AD$115="Moderado"),CONCATENATE("R39C",'Mapa final'!$R$115),"")</f>
        <v/>
      </c>
      <c r="Q44" s="42" t="str">
        <f>IF(AND('Mapa final'!$AB$116="Muy Alta",'Mapa final'!$AD$116="Moderado"),CONCATENATE("R39C",'Mapa final'!$R$116),"")</f>
        <v/>
      </c>
      <c r="R44" s="106" t="str">
        <f>IF(AND('Mapa final'!$AB$117="Muy Alta",'Mapa final'!$AD$117="Moderado"),CONCATENATE("R39C",'Mapa final'!$R$117),"")</f>
        <v/>
      </c>
      <c r="S44" s="105" t="str">
        <f>IF(AND('Mapa final'!$AB$115="Muy Alta",'Mapa final'!$AD$115="Mayor"),CONCATENATE("R39C",'Mapa final'!$R$115),"")</f>
        <v/>
      </c>
      <c r="T44" s="42" t="str">
        <f>IF(AND('Mapa final'!$AB$116="Muy Alta",'Mapa final'!$AD$116="Mayor"),CONCATENATE("R39C",'Mapa final'!$R$116),"")</f>
        <v/>
      </c>
      <c r="U44" s="106" t="str">
        <f>IF(AND('Mapa final'!$AB$117="Muy Alta",'Mapa final'!$AD$117="Mayor"),CONCATENATE("R39C",'Mapa final'!$R$117),"")</f>
        <v/>
      </c>
      <c r="V44" s="43" t="str">
        <f>IF(AND('Mapa final'!$AB$115="Muy Alta",'Mapa final'!$AD$115="Catastrófico"),CONCATENATE("R39C",'Mapa final'!$R$115),"")</f>
        <v/>
      </c>
      <c r="W44" s="44" t="str">
        <f>IF(AND('Mapa final'!$AB$116="Muy Alta",'Mapa final'!$AD$116="Catastrófico"),CONCATENATE("R39C",'Mapa final'!$R$116),"")</f>
        <v/>
      </c>
      <c r="X44" s="100" t="str">
        <f>IF(AND('Mapa final'!$AB$117="Muy Alta",'Mapa final'!$AD$117="Catastrófico"),CONCATENATE("R39C",'Mapa final'!$R$117),"")</f>
        <v/>
      </c>
      <c r="Y44" s="56"/>
      <c r="Z44" s="301"/>
      <c r="AA44" s="302"/>
      <c r="AB44" s="302"/>
      <c r="AC44" s="302"/>
      <c r="AD44" s="302"/>
      <c r="AE44" s="303"/>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row>
    <row r="45" spans="1:61" ht="15" customHeight="1" x14ac:dyDescent="0.35">
      <c r="A45" s="56"/>
      <c r="B45" s="307"/>
      <c r="C45" s="307"/>
      <c r="D45" s="308"/>
      <c r="E45" s="284"/>
      <c r="F45" s="297"/>
      <c r="G45" s="297"/>
      <c r="H45" s="297"/>
      <c r="I45" s="279"/>
      <c r="J45" s="105" t="str">
        <f>IF(AND('Mapa final'!$AB$118="Muy Alta",'Mapa final'!$AD$118="Leve"),CONCATENATE("R40C",'Mapa final'!$R$118),"")</f>
        <v/>
      </c>
      <c r="K45" s="42" t="str">
        <f>IF(AND('Mapa final'!$AB$119="Muy Alta",'Mapa final'!$AD$119="Leve"),CONCATENATE("R40C",'Mapa final'!$R$119),"")</f>
        <v/>
      </c>
      <c r="L45" s="106" t="str">
        <f>IF(AND('Mapa final'!$AB$120="Muy Alta",'Mapa final'!$AD$120="Leve"),CONCATENATE("R40C",'Mapa final'!$R$120),"")</f>
        <v/>
      </c>
      <c r="M45" s="105" t="str">
        <f>IF(AND('Mapa final'!$AB$118="Muy Alta",'Mapa final'!$AD$118="Menor"),CONCATENATE("R40C",'Mapa final'!$R$118),"")</f>
        <v/>
      </c>
      <c r="N45" s="42" t="str">
        <f>IF(AND('Mapa final'!$AB$119="Muy Alta",'Mapa final'!$AD$119="Menor"),CONCATENATE("R40C",'Mapa final'!$R$119),"")</f>
        <v/>
      </c>
      <c r="O45" s="106" t="str">
        <f>IF(AND('Mapa final'!$AB$120="Muy Alta",'Mapa final'!$AD$120="Menor"),CONCATENATE("R40C",'Mapa final'!$R$120),"")</f>
        <v/>
      </c>
      <c r="P45" s="105" t="str">
        <f>IF(AND('Mapa final'!$AB$118="Muy Alta",'Mapa final'!$AD$118="Moderado"),CONCATENATE("R40C",'Mapa final'!$R$118),"")</f>
        <v/>
      </c>
      <c r="Q45" s="42" t="str">
        <f>IF(AND('Mapa final'!$AB$119="Muy Alta",'Mapa final'!$AD$119="Moderado"),CONCATENATE("R40C",'Mapa final'!$R$119),"")</f>
        <v/>
      </c>
      <c r="R45" s="106" t="str">
        <f>IF(AND('Mapa final'!$AB$120="Muy Alta",'Mapa final'!$AD$120="Moderado"),CONCATENATE("R40C",'Mapa final'!$R$120),"")</f>
        <v/>
      </c>
      <c r="S45" s="105" t="str">
        <f>IF(AND('Mapa final'!$AB$118="Muy Alta",'Mapa final'!$AD$118="Mayor"),CONCATENATE("R40C",'Mapa final'!$R$118),"")</f>
        <v/>
      </c>
      <c r="T45" s="42" t="str">
        <f>IF(AND('Mapa final'!$AB$119="Muy Alta",'Mapa final'!$AD$119="Mayor"),CONCATENATE("R40C",'Mapa final'!$R$119),"")</f>
        <v/>
      </c>
      <c r="U45" s="106" t="str">
        <f>IF(AND('Mapa final'!$AB$120="Muy Alta",'Mapa final'!$AD$120="Mayor"),CONCATENATE("R40C",'Mapa final'!$R$120),"")</f>
        <v/>
      </c>
      <c r="V45" s="43" t="str">
        <f>IF(AND('Mapa final'!$AB$118="Muy Alta",'Mapa final'!$AD$118="Catastrófico"),CONCATENATE("R40C",'Mapa final'!$R$118),"")</f>
        <v/>
      </c>
      <c r="W45" s="44" t="str">
        <f>IF(AND('Mapa final'!$AB$119="Muy Alta",'Mapa final'!$AD$119="Catastrófico"),CONCATENATE("R40C",'Mapa final'!$R$119),"")</f>
        <v/>
      </c>
      <c r="X45" s="100" t="str">
        <f>IF(AND('Mapa final'!$AB$120="Muy Alta",'Mapa final'!$AD$120="Catastrófico"),CONCATENATE("R40C",'Mapa final'!$R$120),"")</f>
        <v/>
      </c>
      <c r="Y45" s="56"/>
      <c r="Z45" s="301"/>
      <c r="AA45" s="302"/>
      <c r="AB45" s="302"/>
      <c r="AC45" s="302"/>
      <c r="AD45" s="302"/>
      <c r="AE45" s="303"/>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row>
    <row r="46" spans="1:61" ht="15" customHeight="1" x14ac:dyDescent="0.35">
      <c r="A46" s="56"/>
      <c r="B46" s="307"/>
      <c r="C46" s="307"/>
      <c r="D46" s="308"/>
      <c r="E46" s="284"/>
      <c r="F46" s="297"/>
      <c r="G46" s="297"/>
      <c r="H46" s="297"/>
      <c r="I46" s="279"/>
      <c r="J46" s="105" t="str">
        <f>IF(AND('Mapa final'!$AB$121="Muy Alta",'Mapa final'!$AD$121="Leve"),CONCATENATE("R41C",'Mapa final'!$R$121),"")</f>
        <v/>
      </c>
      <c r="K46" s="42" t="str">
        <f>IF(AND('Mapa final'!$AB$122="Muy Alta",'Mapa final'!$AD$122="Leve"),CONCATENATE("R41C",'Mapa final'!$R$122),"")</f>
        <v/>
      </c>
      <c r="L46" s="106" t="str">
        <f>IF(AND('Mapa final'!$AB$123="Muy Alta",'Mapa final'!$AD$123="Leve"),CONCATENATE("R41C",'Mapa final'!$R$123),"")</f>
        <v/>
      </c>
      <c r="M46" s="105" t="str">
        <f>IF(AND('Mapa final'!$AB$121="Muy Alta",'Mapa final'!$AD$121="Menor"),CONCATENATE("R41C",'Mapa final'!$R$121),"")</f>
        <v/>
      </c>
      <c r="N46" s="42" t="str">
        <f>IF(AND('Mapa final'!$AB$122="Muy Alta",'Mapa final'!$AD$122="Menor"),CONCATENATE("R41C",'Mapa final'!$R$122),"")</f>
        <v/>
      </c>
      <c r="O46" s="106" t="str">
        <f>IF(AND('Mapa final'!$AB$123="Muy Alta",'Mapa final'!$AD$123="Menor"),CONCATENATE("R41C",'Mapa final'!$R$123),"")</f>
        <v/>
      </c>
      <c r="P46" s="105" t="str">
        <f>IF(AND('Mapa final'!$AB$121="Muy Alta",'Mapa final'!$AD$121="Moderado"),CONCATENATE("R41C",'Mapa final'!$R$121),"")</f>
        <v/>
      </c>
      <c r="Q46" s="42" t="str">
        <f>IF(AND('Mapa final'!$AB$122="Muy Alta",'Mapa final'!$AD$122="Moderado"),CONCATENATE("R41C",'Mapa final'!$R$122),"")</f>
        <v/>
      </c>
      <c r="R46" s="106" t="str">
        <f>IF(AND('Mapa final'!$AB$123="Muy Alta",'Mapa final'!$AD$123="Moderado"),CONCATENATE("R41C",'Mapa final'!$R$123),"")</f>
        <v/>
      </c>
      <c r="S46" s="105" t="str">
        <f>IF(AND('Mapa final'!$AB$121="Muy Alta",'Mapa final'!$AD$121="Mayor"),CONCATENATE("R41C",'Mapa final'!$R$121),"")</f>
        <v/>
      </c>
      <c r="T46" s="42" t="str">
        <f>IF(AND('Mapa final'!$AB$122="Muy Alta",'Mapa final'!$AD$122="Mayor"),CONCATENATE("R41C",'Mapa final'!$R$122),"")</f>
        <v/>
      </c>
      <c r="U46" s="106" t="str">
        <f>IF(AND('Mapa final'!$AB$123="Muy Alta",'Mapa final'!$AD$123="Mayor"),CONCATENATE("R41C",'Mapa final'!$R$123),"")</f>
        <v/>
      </c>
      <c r="V46" s="43" t="str">
        <f>IF(AND('Mapa final'!$AB$121="Muy Alta",'Mapa final'!$AD$121="Catastrófico"),CONCATENATE("R41C",'Mapa final'!$R$121),"")</f>
        <v/>
      </c>
      <c r="W46" s="44" t="str">
        <f>IF(AND('Mapa final'!$AB$122="Muy Alta",'Mapa final'!$AD$122="Catastrófico"),CONCATENATE("R41C",'Mapa final'!$R$122),"")</f>
        <v/>
      </c>
      <c r="X46" s="100" t="str">
        <f>IF(AND('Mapa final'!$AB$123="Muy Alta",'Mapa final'!$AD$123="Catastrófico"),CONCATENATE("R41C",'Mapa final'!$R$123),"")</f>
        <v/>
      </c>
      <c r="Y46" s="56"/>
      <c r="Z46" s="301"/>
      <c r="AA46" s="302"/>
      <c r="AB46" s="302"/>
      <c r="AC46" s="302"/>
      <c r="AD46" s="302"/>
      <c r="AE46" s="303"/>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row>
    <row r="47" spans="1:61" ht="15" customHeight="1" x14ac:dyDescent="0.35">
      <c r="A47" s="56"/>
      <c r="B47" s="307"/>
      <c r="C47" s="307"/>
      <c r="D47" s="308"/>
      <c r="E47" s="284"/>
      <c r="F47" s="297"/>
      <c r="G47" s="297"/>
      <c r="H47" s="297"/>
      <c r="I47" s="279"/>
      <c r="J47" s="105" t="str">
        <f>IF(AND('Mapa final'!$AB$124="Muy Alta",'Mapa final'!$AD$124="Leve"),CONCATENATE("R42C",'Mapa final'!$R$124),"")</f>
        <v/>
      </c>
      <c r="K47" s="42" t="str">
        <f>IF(AND('Mapa final'!$AB$125="Muy Alta",'Mapa final'!$AD$125="Leve"),CONCATENATE("R42C",'Mapa final'!$R$125),"")</f>
        <v/>
      </c>
      <c r="L47" s="106" t="str">
        <f>IF(AND('Mapa final'!$AB$126="Muy Alta",'Mapa final'!$AD$126="Leve"),CONCATENATE("R42C",'Mapa final'!$R$126),"")</f>
        <v/>
      </c>
      <c r="M47" s="105" t="str">
        <f>IF(AND('Mapa final'!$AB$124="Muy Alta",'Mapa final'!$AD$124="Menor"),CONCATENATE("R42C",'Mapa final'!$R$124),"")</f>
        <v/>
      </c>
      <c r="N47" s="42" t="str">
        <f>IF(AND('Mapa final'!$AB$125="Muy Alta",'Mapa final'!$AD$125="Menor"),CONCATENATE("R42C",'Mapa final'!$R$125),"")</f>
        <v/>
      </c>
      <c r="O47" s="106" t="str">
        <f>IF(AND('Mapa final'!$AB$126="Muy Alta",'Mapa final'!$AD$126="Menor"),CONCATENATE("R42C",'Mapa final'!$R$126),"")</f>
        <v/>
      </c>
      <c r="P47" s="105" t="str">
        <f>IF(AND('Mapa final'!$AB$124="Muy Alta",'Mapa final'!$AD$124="Moderado"),CONCATENATE("R42C",'Mapa final'!$R$124),"")</f>
        <v/>
      </c>
      <c r="Q47" s="42" t="str">
        <f>IF(AND('Mapa final'!$AB$125="Muy Alta",'Mapa final'!$AD$125="Moderado"),CONCATENATE("R42C",'Mapa final'!$R$125),"")</f>
        <v/>
      </c>
      <c r="R47" s="106" t="str">
        <f>IF(AND('Mapa final'!$AB$126="Muy Alta",'Mapa final'!$AD$126="Moderado"),CONCATENATE("R42C",'Mapa final'!$R$126),"")</f>
        <v/>
      </c>
      <c r="S47" s="105" t="str">
        <f>IF(AND('Mapa final'!$AB$124="Muy Alta",'Mapa final'!$AD$124="Mayor"),CONCATENATE("R42C",'Mapa final'!$R$124),"")</f>
        <v/>
      </c>
      <c r="T47" s="42" t="str">
        <f>IF(AND('Mapa final'!$AB$125="Muy Alta",'Mapa final'!$AD$125="Mayor"),CONCATENATE("R42C",'Mapa final'!$R$125),"")</f>
        <v/>
      </c>
      <c r="U47" s="106" t="str">
        <f>IF(AND('Mapa final'!$AB$126="Muy Alta",'Mapa final'!$AD$126="Mayor"),CONCATENATE("R42C",'Mapa final'!$R$126),"")</f>
        <v/>
      </c>
      <c r="V47" s="43" t="str">
        <f>IF(AND('Mapa final'!$AB$124="Muy Alta",'Mapa final'!$AD$124="Catastrófico"),CONCATENATE("R42C",'Mapa final'!$R$124),"")</f>
        <v/>
      </c>
      <c r="W47" s="44" t="str">
        <f>IF(AND('Mapa final'!$AB$125="Muy Alta",'Mapa final'!$AD$125="Catastrófico"),CONCATENATE("R42C",'Mapa final'!$R$125),"")</f>
        <v/>
      </c>
      <c r="X47" s="100" t="str">
        <f>IF(AND('Mapa final'!$AB$126="Muy Alta",'Mapa final'!$AD$126="Catastrófico"),CONCATENATE("R42C",'Mapa final'!$R$126),"")</f>
        <v/>
      </c>
      <c r="Y47" s="56"/>
      <c r="Z47" s="301"/>
      <c r="AA47" s="302"/>
      <c r="AB47" s="302"/>
      <c r="AC47" s="302"/>
      <c r="AD47" s="302"/>
      <c r="AE47" s="303"/>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row>
    <row r="48" spans="1:61" ht="15" customHeight="1" x14ac:dyDescent="0.35">
      <c r="A48" s="56"/>
      <c r="B48" s="307"/>
      <c r="C48" s="307"/>
      <c r="D48" s="308"/>
      <c r="E48" s="284"/>
      <c r="F48" s="297"/>
      <c r="G48" s="297"/>
      <c r="H48" s="297"/>
      <c r="I48" s="279"/>
      <c r="J48" s="105" t="str">
        <f>IF(AND('Mapa final'!$AB$127="Muy Alta",'Mapa final'!$AD$127="Leve"),CONCATENATE("R43C",'Mapa final'!$R$127),"")</f>
        <v/>
      </c>
      <c r="K48" s="42" t="str">
        <f>IF(AND('Mapa final'!$AB$128="Muy Alta",'Mapa final'!$AD$128="Leve"),CONCATENATE("R43C",'Mapa final'!$R$128),"")</f>
        <v/>
      </c>
      <c r="L48" s="106" t="str">
        <f>IF(AND('Mapa final'!$AB$129="Muy Alta",'Mapa final'!$AD$129="Leve"),CONCATENATE("R43C",'Mapa final'!$R$129),"")</f>
        <v/>
      </c>
      <c r="M48" s="105" t="str">
        <f>IF(AND('Mapa final'!$AB$127="Muy Alta",'Mapa final'!$AD$127="Menor"),CONCATENATE("R43C",'Mapa final'!$R$127),"")</f>
        <v/>
      </c>
      <c r="N48" s="42" t="str">
        <f>IF(AND('Mapa final'!$AB$128="Muy Alta",'Mapa final'!$AD$128="Menor"),CONCATENATE("R43C",'Mapa final'!$R$128),"")</f>
        <v/>
      </c>
      <c r="O48" s="106" t="str">
        <f>IF(AND('Mapa final'!$AB$129="Muy Alta",'Mapa final'!$AD$129="Menor"),CONCATENATE("R43C",'Mapa final'!$R$129),"")</f>
        <v/>
      </c>
      <c r="P48" s="105" t="str">
        <f>IF(AND('Mapa final'!$AB$127="Muy Alta",'Mapa final'!$AD$127="Moderado"),CONCATENATE("R43C",'Mapa final'!$R$127),"")</f>
        <v/>
      </c>
      <c r="Q48" s="42" t="str">
        <f>IF(AND('Mapa final'!$AB$128="Muy Alta",'Mapa final'!$AD$128="Moderado"),CONCATENATE("R43C",'Mapa final'!$R$128),"")</f>
        <v/>
      </c>
      <c r="R48" s="106" t="str">
        <f>IF(AND('Mapa final'!$AB$129="Muy Alta",'Mapa final'!$AD$129="Moderado"),CONCATENATE("R43C",'Mapa final'!$R$129),"")</f>
        <v/>
      </c>
      <c r="S48" s="105" t="str">
        <f>IF(AND('Mapa final'!$AB$127="Muy Alta",'Mapa final'!$AD$127="Mayor"),CONCATENATE("R43C",'Mapa final'!$R$127),"")</f>
        <v/>
      </c>
      <c r="T48" s="42" t="str">
        <f>IF(AND('Mapa final'!$AB$128="Muy Alta",'Mapa final'!$AD$128="Mayor"),CONCATENATE("R43C",'Mapa final'!$R$128),"")</f>
        <v/>
      </c>
      <c r="U48" s="106" t="str">
        <f>IF(AND('Mapa final'!$AB$129="Muy Alta",'Mapa final'!$AD$129="Mayor"),CONCATENATE("R43C",'Mapa final'!$R$129),"")</f>
        <v/>
      </c>
      <c r="V48" s="43" t="str">
        <f>IF(AND('Mapa final'!$AB$127="Muy Alta",'Mapa final'!$AD$127="Catastrófico"),CONCATENATE("R43C",'Mapa final'!$R$127),"")</f>
        <v/>
      </c>
      <c r="W48" s="44" t="str">
        <f>IF(AND('Mapa final'!$AB$128="Muy Alta",'Mapa final'!$AD$128="Catastrófico"),CONCATENATE("R43C",'Mapa final'!$R$128),"")</f>
        <v/>
      </c>
      <c r="X48" s="100" t="str">
        <f>IF(AND('Mapa final'!$AB$129="Muy Alta",'Mapa final'!$AD$129="Catastrófico"),CONCATENATE("R43C",'Mapa final'!$R$129),"")</f>
        <v/>
      </c>
      <c r="Y48" s="56"/>
      <c r="Z48" s="301"/>
      <c r="AA48" s="302"/>
      <c r="AB48" s="302"/>
      <c r="AC48" s="302"/>
      <c r="AD48" s="302"/>
      <c r="AE48" s="303"/>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row>
    <row r="49" spans="1:61" ht="15" customHeight="1" x14ac:dyDescent="0.35">
      <c r="A49" s="56"/>
      <c r="B49" s="307"/>
      <c r="C49" s="307"/>
      <c r="D49" s="308"/>
      <c r="E49" s="284"/>
      <c r="F49" s="297"/>
      <c r="G49" s="297"/>
      <c r="H49" s="297"/>
      <c r="I49" s="279"/>
      <c r="J49" s="105" t="str">
        <f>IF(AND('Mapa final'!$AB$130="Muy Alta",'Mapa final'!$AD$130="Leve"),CONCATENATE("R44C",'Mapa final'!$R$130),"")</f>
        <v/>
      </c>
      <c r="K49" s="42" t="str">
        <f>IF(AND('Mapa final'!$AB$131="Muy Alta",'Mapa final'!$AD$131="Leve"),CONCATENATE("R44C",'Mapa final'!$R$131),"")</f>
        <v/>
      </c>
      <c r="L49" s="106" t="str">
        <f>IF(AND('Mapa final'!$AB$132="Muy Alta",'Mapa final'!$AD$132="Leve"),CONCATENATE("R44C",'Mapa final'!$R$132),"")</f>
        <v/>
      </c>
      <c r="M49" s="105" t="str">
        <f>IF(AND('Mapa final'!$AB$130="Muy Alta",'Mapa final'!$AD$130="Menor"),CONCATENATE("R44C",'Mapa final'!$R$130),"")</f>
        <v/>
      </c>
      <c r="N49" s="42" t="str">
        <f>IF(AND('Mapa final'!$AB$131="Muy Alta",'Mapa final'!$AD$131="Menor"),CONCATENATE("R44C",'Mapa final'!$R$131),"")</f>
        <v/>
      </c>
      <c r="O49" s="106" t="str">
        <f>IF(AND('Mapa final'!$AB$132="Muy Alta",'Mapa final'!$AD$132="Menor"),CONCATENATE("R44C",'Mapa final'!$R$132),"")</f>
        <v/>
      </c>
      <c r="P49" s="105" t="str">
        <f>IF(AND('Mapa final'!$AB$130="Muy Alta",'Mapa final'!$AD$130="Moderado"),CONCATENATE("R44C",'Mapa final'!$R$130),"")</f>
        <v/>
      </c>
      <c r="Q49" s="42" t="str">
        <f>IF(AND('Mapa final'!$AB$131="Muy Alta",'Mapa final'!$AD$131="Moderado"),CONCATENATE("R44C",'Mapa final'!$R$131),"")</f>
        <v/>
      </c>
      <c r="R49" s="106" t="str">
        <f>IF(AND('Mapa final'!$AB$132="Muy Alta",'Mapa final'!$AD$132="Moderado"),CONCATENATE("R44C",'Mapa final'!$R$132),"")</f>
        <v/>
      </c>
      <c r="S49" s="105" t="str">
        <f>IF(AND('Mapa final'!$AB$130="Muy Alta",'Mapa final'!$AD$130="Mayor"),CONCATENATE("R44C",'Mapa final'!$R$130),"")</f>
        <v/>
      </c>
      <c r="T49" s="42" t="str">
        <f>IF(AND('Mapa final'!$AB$131="Muy Alta",'Mapa final'!$AD$131="Mayor"),CONCATENATE("R44C",'Mapa final'!$R$131),"")</f>
        <v/>
      </c>
      <c r="U49" s="106" t="str">
        <f>IF(AND('Mapa final'!$AB$132="Muy Alta",'Mapa final'!$AD$132="Mayor"),CONCATENATE("R44C",'Mapa final'!$R$132),"")</f>
        <v/>
      </c>
      <c r="V49" s="43" t="str">
        <f>IF(AND('Mapa final'!$AB$130="Muy Alta",'Mapa final'!$AD$130="Catastrófico"),CONCATENATE("R44C",'Mapa final'!$R$130),"")</f>
        <v/>
      </c>
      <c r="W49" s="44" t="str">
        <f>IF(AND('Mapa final'!$AB$131="Muy Alta",'Mapa final'!$AD$131="Catastrófico"),CONCATENATE("R44C",'Mapa final'!$R$131),"")</f>
        <v/>
      </c>
      <c r="X49" s="100" t="str">
        <f>IF(AND('Mapa final'!$AB$132="Muy Alta",'Mapa final'!$AD$132="Catastrófico"),CONCATENATE("R44C",'Mapa final'!$R$132),"")</f>
        <v/>
      </c>
      <c r="Y49" s="56"/>
      <c r="Z49" s="301"/>
      <c r="AA49" s="302"/>
      <c r="AB49" s="302"/>
      <c r="AC49" s="302"/>
      <c r="AD49" s="302"/>
      <c r="AE49" s="303"/>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row>
    <row r="50" spans="1:61" ht="15" customHeight="1" x14ac:dyDescent="0.35">
      <c r="A50" s="56"/>
      <c r="B50" s="307"/>
      <c r="C50" s="307"/>
      <c r="D50" s="308"/>
      <c r="E50" s="284"/>
      <c r="F50" s="297"/>
      <c r="G50" s="297"/>
      <c r="H50" s="297"/>
      <c r="I50" s="279"/>
      <c r="J50" s="105" t="str">
        <f>IF(AND('Mapa final'!$AB$133="Muy Alta",'Mapa final'!$AD$133="Leve"),CONCATENATE("R45C",'Mapa final'!$R$133),"")</f>
        <v/>
      </c>
      <c r="K50" s="42" t="str">
        <f>IF(AND('Mapa final'!$AB$134="Muy Alta",'Mapa final'!$AD$134="Leve"),CONCATENATE("R45C",'Mapa final'!$R$134),"")</f>
        <v/>
      </c>
      <c r="L50" s="106" t="str">
        <f>IF(AND('Mapa final'!$AB$135="Muy Alta",'Mapa final'!$AD$135="Leve"),CONCATENATE("R45C",'Mapa final'!$R$135),"")</f>
        <v/>
      </c>
      <c r="M50" s="105" t="str">
        <f>IF(AND('Mapa final'!$AB$133="Muy Alta",'Mapa final'!$AD$133="Menor"),CONCATENATE("R45C",'Mapa final'!$R$133),"")</f>
        <v/>
      </c>
      <c r="N50" s="42" t="str">
        <f>IF(AND('Mapa final'!$AB$134="Muy Alta",'Mapa final'!$AD$134="Menor"),CONCATENATE("R45C",'Mapa final'!$R$134),"")</f>
        <v/>
      </c>
      <c r="O50" s="106" t="str">
        <f>IF(AND('Mapa final'!$AB$135="Muy Alta",'Mapa final'!$AD$135="Menor"),CONCATENATE("R45C",'Mapa final'!$R$135),"")</f>
        <v/>
      </c>
      <c r="P50" s="105" t="str">
        <f>IF(AND('Mapa final'!$AB$133="Muy Alta",'Mapa final'!$AD$133="Moderado"),CONCATENATE("R45C",'Mapa final'!$R$133),"")</f>
        <v/>
      </c>
      <c r="Q50" s="42" t="str">
        <f>IF(AND('Mapa final'!$AB$134="Muy Alta",'Mapa final'!$AD$134="Moderado"),CONCATENATE("R45C",'Mapa final'!$R$134),"")</f>
        <v/>
      </c>
      <c r="R50" s="106" t="str">
        <f>IF(AND('Mapa final'!$AB$135="Muy Alta",'Mapa final'!$AD$135="Moderado"),CONCATENATE("R45C",'Mapa final'!$R$135),"")</f>
        <v/>
      </c>
      <c r="S50" s="105" t="str">
        <f>IF(AND('Mapa final'!$AB$133="Muy Alta",'Mapa final'!$AD$133="Mayor"),CONCATENATE("R45C",'Mapa final'!$R$133),"")</f>
        <v/>
      </c>
      <c r="T50" s="42" t="str">
        <f>IF(AND('Mapa final'!$AB$134="Muy Alta",'Mapa final'!$AD$134="Mayor"),CONCATENATE("R45C",'Mapa final'!$R$134),"")</f>
        <v/>
      </c>
      <c r="U50" s="106" t="str">
        <f>IF(AND('Mapa final'!$AB$135="Muy Alta",'Mapa final'!$AD$135="Mayor"),CONCATENATE("R45C",'Mapa final'!$R$135),"")</f>
        <v/>
      </c>
      <c r="V50" s="43" t="str">
        <f>IF(AND('Mapa final'!$AB$133="Muy Alta",'Mapa final'!$AD$133="Catastrófico"),CONCATENATE("R45C",'Mapa final'!$R$133),"")</f>
        <v/>
      </c>
      <c r="W50" s="44" t="str">
        <f>IF(AND('Mapa final'!$AB$134="Muy Alta",'Mapa final'!$AD$134="Catastrófico"),CONCATENATE("R45C",'Mapa final'!$R$134),"")</f>
        <v/>
      </c>
      <c r="X50" s="100" t="str">
        <f>IF(AND('Mapa final'!$AB$135="Muy Alta",'Mapa final'!$AD$135="Catastrófico"),CONCATENATE("R45C",'Mapa final'!$R$135),"")</f>
        <v/>
      </c>
      <c r="Y50" s="56"/>
      <c r="Z50" s="301"/>
      <c r="AA50" s="302"/>
      <c r="AB50" s="302"/>
      <c r="AC50" s="302"/>
      <c r="AD50" s="302"/>
      <c r="AE50" s="303"/>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row>
    <row r="51" spans="1:61" ht="15" customHeight="1" x14ac:dyDescent="0.35">
      <c r="A51" s="56"/>
      <c r="B51" s="307"/>
      <c r="C51" s="307"/>
      <c r="D51" s="308"/>
      <c r="E51" s="284"/>
      <c r="F51" s="297"/>
      <c r="G51" s="297"/>
      <c r="H51" s="297"/>
      <c r="I51" s="279"/>
      <c r="J51" s="105" t="str">
        <f>IF(AND('Mapa final'!$AB$136="Muy Alta",'Mapa final'!$AD$136="Leve"),CONCATENATE("R46C",'Mapa final'!$R$136),"")</f>
        <v/>
      </c>
      <c r="K51" s="42" t="str">
        <f>IF(AND('Mapa final'!$AB$137="Muy Alta",'Mapa final'!$AD$137="Leve"),CONCATENATE("R46C",'Mapa final'!$R$137),"")</f>
        <v/>
      </c>
      <c r="L51" s="106" t="str">
        <f>IF(AND('Mapa final'!$AB$138="Muy Alta",'Mapa final'!$AD$138="Leve"),CONCATENATE("R46C",'Mapa final'!$R$138),"")</f>
        <v/>
      </c>
      <c r="M51" s="105" t="str">
        <f>IF(AND('Mapa final'!$AB$136="Muy Alta",'Mapa final'!$AD$136="Menor"),CONCATENATE("R46C",'Mapa final'!$R$136),"")</f>
        <v/>
      </c>
      <c r="N51" s="42" t="str">
        <f>IF(AND('Mapa final'!$AB$137="Muy Alta",'Mapa final'!$AD$137="Menor"),CONCATENATE("R46C",'Mapa final'!$R$137),"")</f>
        <v/>
      </c>
      <c r="O51" s="106" t="str">
        <f>IF(AND('Mapa final'!$AB$138="Muy Alta",'Mapa final'!$AD$138="Menor"),CONCATENATE("R46C",'Mapa final'!$R$138),"")</f>
        <v/>
      </c>
      <c r="P51" s="105" t="str">
        <f>IF(AND('Mapa final'!$AB$136="Muy Alta",'Mapa final'!$AD$136="Moderado"),CONCATENATE("R46C",'Mapa final'!$R$136),"")</f>
        <v/>
      </c>
      <c r="Q51" s="42" t="str">
        <f>IF(AND('Mapa final'!$AB$137="Muy Alta",'Mapa final'!$AD$137="Moderado"),CONCATENATE("R46C",'Mapa final'!$R$137),"")</f>
        <v/>
      </c>
      <c r="R51" s="106" t="str">
        <f>IF(AND('Mapa final'!$AB$138="Muy Alta",'Mapa final'!$AD$138="Moderado"),CONCATENATE("R46C",'Mapa final'!$R$138),"")</f>
        <v/>
      </c>
      <c r="S51" s="105" t="str">
        <f>IF(AND('Mapa final'!$AB$136="Muy Alta",'Mapa final'!$AD$136="Mayor"),CONCATENATE("R46C",'Mapa final'!$R$136),"")</f>
        <v/>
      </c>
      <c r="T51" s="42" t="str">
        <f>IF(AND('Mapa final'!$AB$137="Muy Alta",'Mapa final'!$AD$137="Mayor"),CONCATENATE("R46C",'Mapa final'!$R$137),"")</f>
        <v/>
      </c>
      <c r="U51" s="106" t="str">
        <f>IF(AND('Mapa final'!$AB$138="Muy Alta",'Mapa final'!$AD$138="Mayor"),CONCATENATE("R46C",'Mapa final'!$R$138),"")</f>
        <v/>
      </c>
      <c r="V51" s="43" t="str">
        <f>IF(AND('Mapa final'!$AB$136="Muy Alta",'Mapa final'!$AD$136="Catastrófico"),CONCATENATE("R46C",'Mapa final'!$R$136),"")</f>
        <v/>
      </c>
      <c r="W51" s="44" t="str">
        <f>IF(AND('Mapa final'!$AB$137="Muy Alta",'Mapa final'!$AD$137="Catastrófico"),CONCATENATE("R46C",'Mapa final'!$R$137),"")</f>
        <v/>
      </c>
      <c r="X51" s="100" t="str">
        <f>IF(AND('Mapa final'!$AB$138="Muy Alta",'Mapa final'!$AD$138="Catastrófico"),CONCATENATE("R46C",'Mapa final'!$R$138),"")</f>
        <v/>
      </c>
      <c r="Y51" s="56"/>
      <c r="Z51" s="301"/>
      <c r="AA51" s="302"/>
      <c r="AB51" s="302"/>
      <c r="AC51" s="302"/>
      <c r="AD51" s="302"/>
      <c r="AE51" s="303"/>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row>
    <row r="52" spans="1:61" ht="15" customHeight="1" x14ac:dyDescent="0.35">
      <c r="A52" s="56"/>
      <c r="B52" s="307"/>
      <c r="C52" s="307"/>
      <c r="D52" s="308"/>
      <c r="E52" s="284"/>
      <c r="F52" s="297"/>
      <c r="G52" s="297"/>
      <c r="H52" s="297"/>
      <c r="I52" s="279"/>
      <c r="J52" s="105" t="str">
        <f>IF(AND('Mapa final'!$AB$139="Muy Alta",'Mapa final'!$AD$139="Leve"),CONCATENATE("R47C",'Mapa final'!$R$139),"")</f>
        <v/>
      </c>
      <c r="K52" s="42" t="str">
        <f>IF(AND('Mapa final'!$AB$140="Muy Alta",'Mapa final'!$AD$140="Leve"),CONCATENATE("R47C",'Mapa final'!$R$140),"")</f>
        <v/>
      </c>
      <c r="L52" s="106" t="str">
        <f>IF(AND('Mapa final'!$AB$141="Muy Alta",'Mapa final'!$AD$141="Leve"),CONCATENATE("R47C",'Mapa final'!$R$141),"")</f>
        <v/>
      </c>
      <c r="M52" s="105" t="str">
        <f>IF(AND('Mapa final'!$AB$139="Muy Alta",'Mapa final'!$AD$139="Menor"),CONCATENATE("R47C",'Mapa final'!$R$139),"")</f>
        <v/>
      </c>
      <c r="N52" s="42" t="str">
        <f>IF(AND('Mapa final'!$AB$140="Muy Alta",'Mapa final'!$AD$140="Menor"),CONCATENATE("R47C",'Mapa final'!$R$140),"")</f>
        <v/>
      </c>
      <c r="O52" s="106" t="str">
        <f>IF(AND('Mapa final'!$AB$141="Muy Alta",'Mapa final'!$AD$141="Menor"),CONCATENATE("R47C",'Mapa final'!$R$141),"")</f>
        <v/>
      </c>
      <c r="P52" s="105" t="str">
        <f>IF(AND('Mapa final'!$AB$139="Muy Alta",'Mapa final'!$AD$139="Moderado"),CONCATENATE("R47C",'Mapa final'!$R$139),"")</f>
        <v/>
      </c>
      <c r="Q52" s="42" t="str">
        <f>IF(AND('Mapa final'!$AB$140="Muy Alta",'Mapa final'!$AD$140="Moderado"),CONCATENATE("R47C",'Mapa final'!$R$140),"")</f>
        <v/>
      </c>
      <c r="R52" s="106" t="str">
        <f>IF(AND('Mapa final'!$AB$141="Muy Alta",'Mapa final'!$AD$141="Moderado"),CONCATENATE("R47C",'Mapa final'!$R$141),"")</f>
        <v/>
      </c>
      <c r="S52" s="105" t="str">
        <f>IF(AND('Mapa final'!$AB$139="Muy Alta",'Mapa final'!$AD$139="Mayor"),CONCATENATE("R47C",'Mapa final'!$R$139),"")</f>
        <v/>
      </c>
      <c r="T52" s="42" t="str">
        <f>IF(AND('Mapa final'!$AB$140="Muy Alta",'Mapa final'!$AD$140="Mayor"),CONCATENATE("R47C",'Mapa final'!$R$140),"")</f>
        <v/>
      </c>
      <c r="U52" s="106" t="str">
        <f>IF(AND('Mapa final'!$AB$141="Muy Alta",'Mapa final'!$AD$141="Mayor"),CONCATENATE("R47C",'Mapa final'!$R$141),"")</f>
        <v/>
      </c>
      <c r="V52" s="43" t="str">
        <f>IF(AND('Mapa final'!$AB$139="Muy Alta",'Mapa final'!$AD$139="Catastrófico"),CONCATENATE("R47C",'Mapa final'!$R$139),"")</f>
        <v/>
      </c>
      <c r="W52" s="44" t="str">
        <f>IF(AND('Mapa final'!$AB$140="Muy Alta",'Mapa final'!$AD$140="Catastrófico"),CONCATENATE("R47C",'Mapa final'!$R$140),"")</f>
        <v/>
      </c>
      <c r="X52" s="100" t="str">
        <f>IF(AND('Mapa final'!$AB$141="Muy Alta",'Mapa final'!$AD$141="Catastrófico"),CONCATENATE("R47C",'Mapa final'!$R$141),"")</f>
        <v/>
      </c>
      <c r="Y52" s="56"/>
      <c r="Z52" s="301"/>
      <c r="AA52" s="302"/>
      <c r="AB52" s="302"/>
      <c r="AC52" s="302"/>
      <c r="AD52" s="302"/>
      <c r="AE52" s="303"/>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row>
    <row r="53" spans="1:61" ht="15" customHeight="1" x14ac:dyDescent="0.35">
      <c r="A53" s="56"/>
      <c r="B53" s="307"/>
      <c r="C53" s="307"/>
      <c r="D53" s="308"/>
      <c r="E53" s="284"/>
      <c r="F53" s="297"/>
      <c r="G53" s="297"/>
      <c r="H53" s="297"/>
      <c r="I53" s="279"/>
      <c r="J53" s="105" t="str">
        <f>IF(AND('Mapa final'!$AB$142="Muy Alta",'Mapa final'!$AD$142="Leve"),CONCATENATE("R48C",'Mapa final'!$R$142),"")</f>
        <v/>
      </c>
      <c r="K53" s="42" t="str">
        <f>IF(AND('Mapa final'!$AB$143="Muy Alta",'Mapa final'!$AD$143="Leve"),CONCATENATE("R48C",'Mapa final'!$R$143),"")</f>
        <v/>
      </c>
      <c r="L53" s="106" t="str">
        <f>IF(AND('Mapa final'!$AB$144="Muy Alta",'Mapa final'!$AD$144="Leve"),CONCATENATE("R48C",'Mapa final'!$R$144),"")</f>
        <v/>
      </c>
      <c r="M53" s="105" t="str">
        <f>IF(AND('Mapa final'!$AB$142="Muy Alta",'Mapa final'!$AD$142="Menor"),CONCATENATE("R48C",'Mapa final'!$R$142),"")</f>
        <v/>
      </c>
      <c r="N53" s="42" t="str">
        <f>IF(AND('Mapa final'!$AB$143="Muy Alta",'Mapa final'!$AD$143="Menor"),CONCATENATE("R48C",'Mapa final'!$R$143),"")</f>
        <v/>
      </c>
      <c r="O53" s="106" t="str">
        <f>IF(AND('Mapa final'!$AB$144="Muy Alta",'Mapa final'!$AD$144="Menor"),CONCATENATE("R48C",'Mapa final'!$R$144),"")</f>
        <v/>
      </c>
      <c r="P53" s="105" t="str">
        <f>IF(AND('Mapa final'!$AB$142="Muy Alta",'Mapa final'!$AD$142="Moderado"),CONCATENATE("R48C",'Mapa final'!$R$142),"")</f>
        <v/>
      </c>
      <c r="Q53" s="42" t="str">
        <f>IF(AND('Mapa final'!$AB$143="Muy Alta",'Mapa final'!$AD$143="Moderado"),CONCATENATE("R48C",'Mapa final'!$R$143),"")</f>
        <v/>
      </c>
      <c r="R53" s="106" t="str">
        <f>IF(AND('Mapa final'!$AB$144="Muy Alta",'Mapa final'!$AD$144="Moderado"),CONCATENATE("R48C",'Mapa final'!$R$144),"")</f>
        <v/>
      </c>
      <c r="S53" s="105" t="str">
        <f>IF(AND('Mapa final'!$AB$142="Muy Alta",'Mapa final'!$AD$142="Mayor"),CONCATENATE("R48C",'Mapa final'!$R$142),"")</f>
        <v/>
      </c>
      <c r="T53" s="42" t="str">
        <f>IF(AND('Mapa final'!$AB$143="Muy Alta",'Mapa final'!$AD$143="Mayor"),CONCATENATE("R48C",'Mapa final'!$R$143),"")</f>
        <v/>
      </c>
      <c r="U53" s="106" t="str">
        <f>IF(AND('Mapa final'!$AB$144="Muy Alta",'Mapa final'!$AD$144="Mayor"),CONCATENATE("R48C",'Mapa final'!$R$144),"")</f>
        <v/>
      </c>
      <c r="V53" s="43" t="str">
        <f>IF(AND('Mapa final'!$AB$142="Muy Alta",'Mapa final'!$AD$142="Catastrófico"),CONCATENATE("R48C",'Mapa final'!$R$142),"")</f>
        <v/>
      </c>
      <c r="W53" s="44" t="str">
        <f>IF(AND('Mapa final'!$AB$143="Muy Alta",'Mapa final'!$AD$143="Catastrófico"),CONCATENATE("R48C",'Mapa final'!$R$143),"")</f>
        <v/>
      </c>
      <c r="X53" s="100" t="str">
        <f>IF(AND('Mapa final'!$AB$144="Muy Alta",'Mapa final'!$AD$144="Catastrófico"),CONCATENATE("R48C",'Mapa final'!$R$144),"")</f>
        <v/>
      </c>
      <c r="Y53" s="56"/>
      <c r="Z53" s="301"/>
      <c r="AA53" s="302"/>
      <c r="AB53" s="302"/>
      <c r="AC53" s="302"/>
      <c r="AD53" s="302"/>
      <c r="AE53" s="303"/>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row>
    <row r="54" spans="1:61" ht="15" customHeight="1" x14ac:dyDescent="0.35">
      <c r="A54" s="56"/>
      <c r="B54" s="307"/>
      <c r="C54" s="307"/>
      <c r="D54" s="308"/>
      <c r="E54" s="284"/>
      <c r="F54" s="297"/>
      <c r="G54" s="297"/>
      <c r="H54" s="297"/>
      <c r="I54" s="279"/>
      <c r="J54" s="105" t="str">
        <f>IF(AND('Mapa final'!$AB$145="Muy Alta",'Mapa final'!$AD$145="Leve"),CONCATENATE("R49C",'Mapa final'!$R$145),"")</f>
        <v/>
      </c>
      <c r="K54" s="42" t="str">
        <f>IF(AND('Mapa final'!$AB$146="Muy Alta",'Mapa final'!$AD$146="Leve"),CONCATENATE("R49C",'Mapa final'!$R$146),"")</f>
        <v/>
      </c>
      <c r="L54" s="106" t="str">
        <f>IF(AND('Mapa final'!$AB$147="Muy Alta",'Mapa final'!$AD$147="Leve"),CONCATENATE("R49C",'Mapa final'!$R$147),"")</f>
        <v/>
      </c>
      <c r="M54" s="105" t="str">
        <f>IF(AND('Mapa final'!$AB$145="Muy Alta",'Mapa final'!$AD$145="Menor"),CONCATENATE("R49C",'Mapa final'!$R$145),"")</f>
        <v/>
      </c>
      <c r="N54" s="42" t="str">
        <f>IF(AND('Mapa final'!$AB$146="Muy Alta",'Mapa final'!$AD$146="Menor"),CONCATENATE("R49C",'Mapa final'!$R$146),"")</f>
        <v/>
      </c>
      <c r="O54" s="106" t="str">
        <f>IF(AND('Mapa final'!$AB$147="Muy Alta",'Mapa final'!$AD$147="Menor"),CONCATENATE("R49C",'Mapa final'!$R$147),"")</f>
        <v/>
      </c>
      <c r="P54" s="105" t="str">
        <f>IF(AND('Mapa final'!$AB$145="Muy Alta",'Mapa final'!$AD$145="Moderado"),CONCATENATE("R49C",'Mapa final'!$R$145),"")</f>
        <v/>
      </c>
      <c r="Q54" s="42" t="str">
        <f>IF(AND('Mapa final'!$AB$146="Muy Alta",'Mapa final'!$AD$146="Moderado"),CONCATENATE("R49C",'Mapa final'!$R$146),"")</f>
        <v/>
      </c>
      <c r="R54" s="106" t="str">
        <f>IF(AND('Mapa final'!$AB$147="Muy Alta",'Mapa final'!$AD$147="Moderado"),CONCATENATE("R49C",'Mapa final'!$R$147),"")</f>
        <v/>
      </c>
      <c r="S54" s="105" t="str">
        <f>IF(AND('Mapa final'!$AB$145="Muy Alta",'Mapa final'!$AD$145="Mayor"),CONCATENATE("R49C",'Mapa final'!$R$145),"")</f>
        <v/>
      </c>
      <c r="T54" s="42" t="str">
        <f>IF(AND('Mapa final'!$AB$146="Muy Alta",'Mapa final'!$AD$146="Mayor"),CONCATENATE("R49C",'Mapa final'!$R$146),"")</f>
        <v/>
      </c>
      <c r="U54" s="106" t="str">
        <f>IF(AND('Mapa final'!$AB$147="Muy Alta",'Mapa final'!$AD$147="Mayor"),CONCATENATE("R49C",'Mapa final'!$R$147),"")</f>
        <v/>
      </c>
      <c r="V54" s="43" t="str">
        <f>IF(AND('Mapa final'!$AB$145="Muy Alta",'Mapa final'!$AD$145="Catastrófico"),CONCATENATE("R49C",'Mapa final'!$R$145),"")</f>
        <v/>
      </c>
      <c r="W54" s="44" t="str">
        <f>IF(AND('Mapa final'!$AB$146="Muy Alta",'Mapa final'!$AD$146="Catastrófico"),CONCATENATE("R49C",'Mapa final'!$R$146),"")</f>
        <v/>
      </c>
      <c r="X54" s="100" t="str">
        <f>IF(AND('Mapa final'!$AB$147="Muy Alta",'Mapa final'!$AD$147="Catastrófico"),CONCATENATE("R49C",'Mapa final'!$R$147),"")</f>
        <v/>
      </c>
      <c r="Y54" s="56"/>
      <c r="Z54" s="301"/>
      <c r="AA54" s="302"/>
      <c r="AB54" s="302"/>
      <c r="AC54" s="302"/>
      <c r="AD54" s="302"/>
      <c r="AE54" s="303"/>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row>
    <row r="55" spans="1:61" ht="15" customHeight="1" thickBot="1" x14ac:dyDescent="0.4">
      <c r="A55" s="56"/>
      <c r="B55" s="307"/>
      <c r="C55" s="307"/>
      <c r="D55" s="308"/>
      <c r="E55" s="284"/>
      <c r="F55" s="297"/>
      <c r="G55" s="297"/>
      <c r="H55" s="297"/>
      <c r="I55" s="279"/>
      <c r="J55" s="105" t="str">
        <f>IF(AND('Mapa final'!$AB$148="Muy Alta",'Mapa final'!$AD$148="Leve"),CONCATENATE("R50C",'Mapa final'!$R$148),"")</f>
        <v/>
      </c>
      <c r="K55" s="42" t="str">
        <f>IF(AND('Mapa final'!$AB$149="Muy Alta",'Mapa final'!$AD$149="Leve"),CONCATENATE("R50C",'Mapa final'!$R$149),"")</f>
        <v/>
      </c>
      <c r="L55" s="106" t="str">
        <f>IF(AND('Mapa final'!$AB$150="Muy Alta",'Mapa final'!$AD$150="Leve"),CONCATENATE("R50C",'Mapa final'!$R$150),"")</f>
        <v/>
      </c>
      <c r="M55" s="105" t="str">
        <f>IF(AND('Mapa final'!$AB$148="Muy Alta",'Mapa final'!$AD$148="Menor"),CONCATENATE("R50C",'Mapa final'!$R$148),"")</f>
        <v/>
      </c>
      <c r="N55" s="42" t="str">
        <f>IF(AND('Mapa final'!$AB$149="Muy Alta",'Mapa final'!$AD$149="Menor"),CONCATENATE("R50C",'Mapa final'!$R$149),"")</f>
        <v/>
      </c>
      <c r="O55" s="106" t="str">
        <f>IF(AND('Mapa final'!$AB$150="Muy Alta",'Mapa final'!$AD$150="Menor"),CONCATENATE("R50C",'Mapa final'!$R$150),"")</f>
        <v/>
      </c>
      <c r="P55" s="105" t="str">
        <f>IF(AND('Mapa final'!$AB$148="Muy Alta",'Mapa final'!$AD$148="Moderado"),CONCATENATE("R50C",'Mapa final'!$R$148),"")</f>
        <v/>
      </c>
      <c r="Q55" s="42" t="str">
        <f>IF(AND('Mapa final'!$AB$149="Muy Alta",'Mapa final'!$AD$149="Moderado"),CONCATENATE("R50C",'Mapa final'!$R$149),"")</f>
        <v/>
      </c>
      <c r="R55" s="106" t="str">
        <f>IF(AND('Mapa final'!$AB$150="Muy Alta",'Mapa final'!$AD$150="Moderado"),CONCATENATE("R50C",'Mapa final'!$R$150),"")</f>
        <v/>
      </c>
      <c r="S55" s="107" t="str">
        <f>IF(AND('Mapa final'!$AB$148="Muy Alta",'Mapa final'!$AD$148="Mayor"),CONCATENATE("R50C",'Mapa final'!$R$148),"")</f>
        <v/>
      </c>
      <c r="T55" s="108" t="str">
        <f>IF(AND('Mapa final'!$AB$149="Muy Alta",'Mapa final'!$AD$149="Mayor"),CONCATENATE("R50C",'Mapa final'!$R$149),"")</f>
        <v/>
      </c>
      <c r="U55" s="109" t="str">
        <f>IF(AND('Mapa final'!$AB$150="Muy Alta",'Mapa final'!$AD$150="Mayor"),CONCATENATE("R50C",'Mapa final'!$R$150),"")</f>
        <v/>
      </c>
      <c r="V55" s="45" t="str">
        <f>IF(AND('Mapa final'!$AB$148="Muy Alta",'Mapa final'!$AD$148="Catastrófico"),CONCATENATE("R50C",'Mapa final'!$R$148),"")</f>
        <v/>
      </c>
      <c r="W55" s="46" t="str">
        <f>IF(AND('Mapa final'!$AB$149="Muy Alta",'Mapa final'!$AD$149="Catastrófico"),CONCATENATE("R50C",'Mapa final'!$R$149),"")</f>
        <v/>
      </c>
      <c r="X55" s="101" t="str">
        <f>IF(AND('Mapa final'!$AB$150="Muy Alta",'Mapa final'!$AD$150="Catastrófico"),CONCATENATE("R50C",'Mapa final'!$R$150),"")</f>
        <v/>
      </c>
      <c r="Y55" s="56"/>
      <c r="Z55" s="301"/>
      <c r="AA55" s="302"/>
      <c r="AB55" s="302"/>
      <c r="AC55" s="302"/>
      <c r="AD55" s="302"/>
      <c r="AE55" s="303"/>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row>
    <row r="56" spans="1:61" ht="15" customHeight="1" x14ac:dyDescent="0.35">
      <c r="A56" s="56"/>
      <c r="B56" s="307"/>
      <c r="C56" s="307"/>
      <c r="D56" s="308"/>
      <c r="E56" s="295" t="s">
        <v>106</v>
      </c>
      <c r="F56" s="296"/>
      <c r="G56" s="296"/>
      <c r="H56" s="296"/>
      <c r="I56" s="296"/>
      <c r="J56" s="47" t="str">
        <f>IF(AND('Mapa final'!$AB$7="Alta",'Mapa final'!$AD$7="Leve"),CONCATENATE("R1C",'Mapa final'!$R$7),"")</f>
        <v/>
      </c>
      <c r="K56" s="48" t="str">
        <f>IF(AND('Mapa final'!$AB$8="Alta",'Mapa final'!$AD$8="Leve"),CONCATENATE("R1C",'Mapa final'!$R$8),"")</f>
        <v/>
      </c>
      <c r="L56" s="110" t="str">
        <f>IF(AND('Mapa final'!$AB$9="Alta",'Mapa final'!$AD$9="Leve"),CONCATENATE("R1C",'Mapa final'!$R$9),"")</f>
        <v/>
      </c>
      <c r="M56" s="47" t="str">
        <f>IF(AND('Mapa final'!$AB$7="Alta",'Mapa final'!$AD$7="Menor"),CONCATENATE("R1C",'Mapa final'!$R$7),"")</f>
        <v/>
      </c>
      <c r="N56" s="48" t="str">
        <f>IF(AND('Mapa final'!$AB$8="Alta",'Mapa final'!$AD$8="Menor"),CONCATENATE("R1C",'Mapa final'!$R$8),"")</f>
        <v/>
      </c>
      <c r="O56" s="110" t="str">
        <f>IF(AND('Mapa final'!$AB$9="Alta",'Mapa final'!$AD$9="Menor"),CONCATENATE("R1C",'Mapa final'!$R$9),"")</f>
        <v/>
      </c>
      <c r="P56" s="102" t="str">
        <f>IF(AND('Mapa final'!$AB$7="Alta",'Mapa final'!$AD$7="Moderado"),CONCATENATE("R1C",'Mapa final'!$R$7),"")</f>
        <v/>
      </c>
      <c r="Q56" s="103" t="str">
        <f>IF(AND('Mapa final'!$AB$8="Alta",'Mapa final'!$AD$8="Moderado"),CONCATENATE("R1C",'Mapa final'!$R$8),"")</f>
        <v/>
      </c>
      <c r="R56" s="104" t="str">
        <f>IF(AND('Mapa final'!$AB$9="Alta",'Mapa final'!$AD$9="Moderado"),CONCATENATE("R1C",'Mapa final'!$R$9),"")</f>
        <v/>
      </c>
      <c r="S56" s="102" t="str">
        <f>IF(AND('Mapa final'!$AB$7="Alta",'Mapa final'!$AD$7="Mayor"),CONCATENATE("R1C",'Mapa final'!$R$7),"")</f>
        <v/>
      </c>
      <c r="T56" s="103" t="str">
        <f>IF(AND('Mapa final'!$AB$8="Alta",'Mapa final'!$AD$8="Mayor"),CONCATENATE("R1C",'Mapa final'!$R$8),"")</f>
        <v/>
      </c>
      <c r="U56" s="104" t="str">
        <f>IF(AND('Mapa final'!$AB$9="Alta",'Mapa final'!$AD$9="Mayor"),CONCATENATE("R1C",'Mapa final'!$R$9),"")</f>
        <v/>
      </c>
      <c r="V56" s="40" t="str">
        <f>IF(AND('Mapa final'!$AB$7="Alta",'Mapa final'!$AD$7="Catastrófico"),CONCATENATE("R1C",'Mapa final'!$R$7),"")</f>
        <v/>
      </c>
      <c r="W56" s="41" t="str">
        <f>IF(AND('Mapa final'!$AB$8="Alta",'Mapa final'!$AD$8="Catastrófico"),CONCATENATE("R1C",'Mapa final'!$R$8),"")</f>
        <v/>
      </c>
      <c r="X56" s="99" t="str">
        <f>IF(AND('Mapa final'!$AB$9="Alta",'Mapa final'!$AD$9="Catastrófico"),CONCATENATE("R1C",'Mapa final'!$R$9),"")</f>
        <v/>
      </c>
      <c r="Y56" s="56"/>
      <c r="Z56" s="289" t="s">
        <v>74</v>
      </c>
      <c r="AA56" s="290"/>
      <c r="AB56" s="290"/>
      <c r="AC56" s="290"/>
      <c r="AD56" s="290"/>
      <c r="AE56" s="291"/>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row>
    <row r="57" spans="1:61" ht="15" customHeight="1" x14ac:dyDescent="0.35">
      <c r="A57" s="56"/>
      <c r="B57" s="307"/>
      <c r="C57" s="307"/>
      <c r="D57" s="308"/>
      <c r="E57" s="283"/>
      <c r="F57" s="279"/>
      <c r="G57" s="279"/>
      <c r="H57" s="279"/>
      <c r="I57" s="279"/>
      <c r="J57" s="49" t="str">
        <f>IF(AND('Mapa final'!$AB$10="Alta",'Mapa final'!$AD$10="Leve"),CONCATENATE("R2C",'Mapa final'!$R$10),"")</f>
        <v/>
      </c>
      <c r="K57" s="50" t="str">
        <f>IF(AND('Mapa final'!$AB$11="Alta",'Mapa final'!$AD$11="Leve"),CONCATENATE("R2C",'Mapa final'!$R$11),"")</f>
        <v/>
      </c>
      <c r="L57" s="111" t="str">
        <f>IF(AND('Mapa final'!$AB$12="Alta",'Mapa final'!$AD$12="Leve"),CONCATENATE("R2C",'Mapa final'!$R$12),"")</f>
        <v/>
      </c>
      <c r="M57" s="49" t="str">
        <f>IF(AND('Mapa final'!$AB$10="Alta",'Mapa final'!$AD$10="Menor"),CONCATENATE("R2C",'Mapa final'!$R$10),"")</f>
        <v/>
      </c>
      <c r="N57" s="50" t="str">
        <f>IF(AND('Mapa final'!$AB$11="Alta",'Mapa final'!$AD$11="Menor"),CONCATENATE("R2C",'Mapa final'!$R$11),"")</f>
        <v/>
      </c>
      <c r="O57" s="111" t="str">
        <f>IF(AND('Mapa final'!$AB$12="Alta",'Mapa final'!$AD$12="Menor"),CONCATENATE("R2C",'Mapa final'!$R$12),"")</f>
        <v/>
      </c>
      <c r="P57" s="105" t="str">
        <f>IF(AND('Mapa final'!$AB$10="Alta",'Mapa final'!$AD$10="Moderado"),CONCATENATE("R2C",'Mapa final'!$R$10),"")</f>
        <v/>
      </c>
      <c r="Q57" s="42" t="str">
        <f>IF(AND('Mapa final'!$AB$11="Alta",'Mapa final'!$AD$11="Moderado"),CONCATENATE("R2C",'Mapa final'!$R$11),"")</f>
        <v/>
      </c>
      <c r="R57" s="106" t="str">
        <f>IF(AND('Mapa final'!$AB$12="Alta",'Mapa final'!$AD$12="Moderado"),CONCATENATE("R2C",'Mapa final'!$R$12),"")</f>
        <v/>
      </c>
      <c r="S57" s="105" t="str">
        <f>IF(AND('Mapa final'!$AB$10="Alta",'Mapa final'!$AD$10="Mayor"),CONCATENATE("R2C",'Mapa final'!$R$10),"")</f>
        <v/>
      </c>
      <c r="T57" s="42" t="str">
        <f>IF(AND('Mapa final'!$AB$11="Alta",'Mapa final'!$AD$11="Mayor"),CONCATENATE("R2C",'Mapa final'!$R$11),"")</f>
        <v/>
      </c>
      <c r="U57" s="106" t="str">
        <f>IF(AND('Mapa final'!$AB$12="Alta",'Mapa final'!$AD$12="Mayor"),CONCATENATE("R2C",'Mapa final'!$R$12),"")</f>
        <v/>
      </c>
      <c r="V57" s="43" t="str">
        <f>IF(AND('Mapa final'!$AB$10="Alta",'Mapa final'!$AD$10="Catastrófico"),CONCATENATE("R2C",'Mapa final'!$R$10),"")</f>
        <v/>
      </c>
      <c r="W57" s="44" t="str">
        <f>IF(AND('Mapa final'!$AB$11="Alta",'Mapa final'!$AD$11="Catastrófico"),CONCATENATE("R2C",'Mapa final'!$R$11),"")</f>
        <v/>
      </c>
      <c r="X57" s="100" t="str">
        <f>IF(AND('Mapa final'!$AB$12="Alta",'Mapa final'!$AD$12="Catastrófico"),CONCATENATE("R2C",'Mapa final'!$R$12),"")</f>
        <v/>
      </c>
      <c r="Y57" s="56"/>
      <c r="Z57" s="292"/>
      <c r="AA57" s="293"/>
      <c r="AB57" s="293"/>
      <c r="AC57" s="293"/>
      <c r="AD57" s="293"/>
      <c r="AE57" s="294"/>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row>
    <row r="58" spans="1:61" ht="15" customHeight="1" x14ac:dyDescent="0.35">
      <c r="A58" s="56"/>
      <c r="B58" s="307"/>
      <c r="C58" s="307"/>
      <c r="D58" s="308"/>
      <c r="E58" s="284"/>
      <c r="F58" s="297"/>
      <c r="G58" s="297"/>
      <c r="H58" s="297"/>
      <c r="I58" s="279"/>
      <c r="J58" s="49" t="str">
        <f>IF(AND('Mapa final'!$AB$13="Alta",'Mapa final'!$AD$13="Leve"),CONCATENATE("R3C",'Mapa final'!$R$13),"")</f>
        <v/>
      </c>
      <c r="K58" s="50" t="str">
        <f>IF(AND('Mapa final'!$AB$14="Alta",'Mapa final'!$AD$14="Leve"),CONCATENATE("R3C",'Mapa final'!$R$14),"")</f>
        <v/>
      </c>
      <c r="L58" s="111" t="str">
        <f>IF(AND('Mapa final'!$AB$15="Alta",'Mapa final'!$AD$15="Leve"),CONCATENATE("R3C",'Mapa final'!$R$15),"")</f>
        <v/>
      </c>
      <c r="M58" s="49" t="str">
        <f>IF(AND('Mapa final'!$AB$13="Alta",'Mapa final'!$AD$13="Menor"),CONCATENATE("R3C",'Mapa final'!$R$13),"")</f>
        <v/>
      </c>
      <c r="N58" s="50" t="str">
        <f>IF(AND('Mapa final'!$AB$14="Alta",'Mapa final'!$AD$14="Menor"),CONCATENATE("R3C",'Mapa final'!$R$14),"")</f>
        <v/>
      </c>
      <c r="O58" s="111" t="str">
        <f>IF(AND('Mapa final'!$AB$15="Alta",'Mapa final'!$AD$15="Menor"),CONCATENATE("R3C",'Mapa final'!$R$15),"")</f>
        <v/>
      </c>
      <c r="P58" s="105" t="str">
        <f>IF(AND('Mapa final'!$AB$13="Alta",'Mapa final'!$AD$13="Moderado"),CONCATENATE("R3C",'Mapa final'!$R$13),"")</f>
        <v/>
      </c>
      <c r="Q58" s="42" t="str">
        <f>IF(AND('Mapa final'!$AB$14="Alta",'Mapa final'!$AD$14="Moderado"),CONCATENATE("R3C",'Mapa final'!$R$14),"")</f>
        <v/>
      </c>
      <c r="R58" s="106" t="str">
        <f>IF(AND('Mapa final'!$AB$15="Alta",'Mapa final'!$AD$15="Moderado"),CONCATENATE("R3C",'Mapa final'!$R$15),"")</f>
        <v/>
      </c>
      <c r="S58" s="105" t="str">
        <f>IF(AND('Mapa final'!$AB$13="Alta",'Mapa final'!$AD$13="Mayor"),CONCATENATE("R3C",'Mapa final'!$R$13),"")</f>
        <v/>
      </c>
      <c r="T58" s="42" t="str">
        <f>IF(AND('Mapa final'!$AB$14="Alta",'Mapa final'!$AD$14="Mayor"),CONCATENATE("R3C",'Mapa final'!$R$14),"")</f>
        <v/>
      </c>
      <c r="U58" s="106" t="str">
        <f>IF(AND('Mapa final'!$AB$15="Alta",'Mapa final'!$AD$15="Mayor"),CONCATENATE("R3C",'Mapa final'!$R$15),"")</f>
        <v/>
      </c>
      <c r="V58" s="43" t="str">
        <f>IF(AND('Mapa final'!$AB$13="Alta",'Mapa final'!$AD$13="Catastrófico"),CONCATENATE("R3C",'Mapa final'!$R$13),"")</f>
        <v/>
      </c>
      <c r="W58" s="44" t="str">
        <f>IF(AND('Mapa final'!$AB$14="Alta",'Mapa final'!$AD$14="Catastrófico"),CONCATENATE("R3C",'Mapa final'!$R$14),"")</f>
        <v/>
      </c>
      <c r="X58" s="100" t="str">
        <f>IF(AND('Mapa final'!$AB$15="Alta",'Mapa final'!$AD$15="Catastrófico"),CONCATENATE("R3C",'Mapa final'!$R$15),"")</f>
        <v/>
      </c>
      <c r="Y58" s="56"/>
      <c r="Z58" s="292"/>
      <c r="AA58" s="293"/>
      <c r="AB58" s="293"/>
      <c r="AC58" s="293"/>
      <c r="AD58" s="293"/>
      <c r="AE58" s="294"/>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row>
    <row r="59" spans="1:61" ht="15" customHeight="1" x14ac:dyDescent="0.35">
      <c r="A59" s="56"/>
      <c r="B59" s="307"/>
      <c r="C59" s="307"/>
      <c r="D59" s="308"/>
      <c r="E59" s="284"/>
      <c r="F59" s="297"/>
      <c r="G59" s="297"/>
      <c r="H59" s="297"/>
      <c r="I59" s="279"/>
      <c r="J59" s="49" t="e">
        <f>IF(AND('Mapa final'!#REF!="Alta",'Mapa final'!#REF!="Leve"),CONCATENATE("R4C",'Mapa final'!#REF!),"")</f>
        <v>#REF!</v>
      </c>
      <c r="K59" s="50" t="e">
        <f>IF(AND('Mapa final'!#REF!="Alta",'Mapa final'!#REF!="Leve"),CONCATENATE("R4C",'Mapa final'!#REF!),"")</f>
        <v>#REF!</v>
      </c>
      <c r="L59" s="111" t="e">
        <f>IF(AND('Mapa final'!#REF!="Alta",'Mapa final'!#REF!="Leve"),CONCATENATE("R4C",'Mapa final'!#REF!),"")</f>
        <v>#REF!</v>
      </c>
      <c r="M59" s="49" t="e">
        <f>IF(AND('Mapa final'!#REF!="Alta",'Mapa final'!#REF!="Menor"),CONCATENATE("R4C",'Mapa final'!#REF!),"")</f>
        <v>#REF!</v>
      </c>
      <c r="N59" s="50" t="e">
        <f>IF(AND('Mapa final'!#REF!="Alta",'Mapa final'!#REF!="Menor"),CONCATENATE("R4C",'Mapa final'!#REF!),"")</f>
        <v>#REF!</v>
      </c>
      <c r="O59" s="111" t="e">
        <f>IF(AND('Mapa final'!#REF!="Alta",'Mapa final'!#REF!="Menor"),CONCATENATE("R4C",'Mapa final'!#REF!),"")</f>
        <v>#REF!</v>
      </c>
      <c r="P59" s="105" t="e">
        <f>IF(AND('Mapa final'!#REF!="Alta",'Mapa final'!#REF!="Moderado"),CONCATENATE("R4C",'Mapa final'!#REF!),"")</f>
        <v>#REF!</v>
      </c>
      <c r="Q59" s="42" t="e">
        <f>IF(AND('Mapa final'!#REF!="Alta",'Mapa final'!#REF!="Moderado"),CONCATENATE("R4C",'Mapa final'!#REF!),"")</f>
        <v>#REF!</v>
      </c>
      <c r="R59" s="106" t="e">
        <f>IF(AND('Mapa final'!#REF!="Alta",'Mapa final'!#REF!="Moderado"),CONCATENATE("R4C",'Mapa final'!#REF!),"")</f>
        <v>#REF!</v>
      </c>
      <c r="S59" s="105" t="e">
        <f>IF(AND('Mapa final'!#REF!="Alta",'Mapa final'!#REF!="Mayor"),CONCATENATE("R4C",'Mapa final'!#REF!),"")</f>
        <v>#REF!</v>
      </c>
      <c r="T59" s="42" t="e">
        <f>IF(AND('Mapa final'!#REF!="Alta",'Mapa final'!#REF!="Mayor"),CONCATENATE("R4C",'Mapa final'!#REF!),"")</f>
        <v>#REF!</v>
      </c>
      <c r="U59" s="106" t="e">
        <f>IF(AND('Mapa final'!#REF!="Alta",'Mapa final'!#REF!="Mayor"),CONCATENATE("R4C",'Mapa final'!#REF!),"")</f>
        <v>#REF!</v>
      </c>
      <c r="V59" s="43" t="e">
        <f>IF(AND('Mapa final'!#REF!="Alta",'Mapa final'!#REF!="Catastrófico"),CONCATENATE("R4C",'Mapa final'!#REF!),"")</f>
        <v>#REF!</v>
      </c>
      <c r="W59" s="44" t="e">
        <f>IF(AND('Mapa final'!#REF!="Alta",'Mapa final'!#REF!="Catastrófico"),CONCATENATE("R4C",'Mapa final'!#REF!),"")</f>
        <v>#REF!</v>
      </c>
      <c r="X59" s="100" t="e">
        <f>IF(AND('Mapa final'!#REF!="Alta",'Mapa final'!#REF!="Catastrófico"),CONCATENATE("R4C",'Mapa final'!#REF!),"")</f>
        <v>#REF!</v>
      </c>
      <c r="Y59" s="56"/>
      <c r="Z59" s="292"/>
      <c r="AA59" s="293"/>
      <c r="AB59" s="293"/>
      <c r="AC59" s="293"/>
      <c r="AD59" s="293"/>
      <c r="AE59" s="294"/>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row>
    <row r="60" spans="1:61" ht="12" customHeight="1" x14ac:dyDescent="0.35">
      <c r="A60" s="56"/>
      <c r="B60" s="307"/>
      <c r="C60" s="307"/>
      <c r="D60" s="308"/>
      <c r="E60" s="284"/>
      <c r="F60" s="297"/>
      <c r="G60" s="297"/>
      <c r="H60" s="297"/>
      <c r="I60" s="279"/>
      <c r="J60" s="49" t="e">
        <f>IF(AND('Mapa final'!#REF!="Alta",'Mapa final'!#REF!="Leve"),CONCATENATE("R5C",'Mapa final'!#REF!),"")</f>
        <v>#REF!</v>
      </c>
      <c r="K60" s="50" t="e">
        <f>IF(AND('Mapa final'!#REF!="Alta",'Mapa final'!#REF!="Leve"),CONCATENATE("R5C",'Mapa final'!#REF!),"")</f>
        <v>#REF!</v>
      </c>
      <c r="L60" s="111" t="e">
        <f>IF(AND('Mapa final'!#REF!="Alta",'Mapa final'!#REF!="Leve"),CONCATENATE("R5C",'Mapa final'!#REF!),"")</f>
        <v>#REF!</v>
      </c>
      <c r="M60" s="49" t="e">
        <f>IF(AND('Mapa final'!#REF!="Alta",'Mapa final'!#REF!="Menor"),CONCATENATE("R5C",'Mapa final'!#REF!),"")</f>
        <v>#REF!</v>
      </c>
      <c r="N60" s="50" t="e">
        <f>IF(AND('Mapa final'!#REF!="Alta",'Mapa final'!#REF!="Menor"),CONCATENATE("R5C",'Mapa final'!#REF!),"")</f>
        <v>#REF!</v>
      </c>
      <c r="O60" s="111" t="e">
        <f>IF(AND('Mapa final'!#REF!="Alta",'Mapa final'!#REF!="Menor"),CONCATENATE("R5C",'Mapa final'!#REF!),"")</f>
        <v>#REF!</v>
      </c>
      <c r="P60" s="105" t="e">
        <f>IF(AND('Mapa final'!#REF!="Alta",'Mapa final'!#REF!="Moderado"),CONCATENATE("R5C",'Mapa final'!#REF!),"")</f>
        <v>#REF!</v>
      </c>
      <c r="Q60" s="42" t="e">
        <f>IF(AND('Mapa final'!#REF!="Alta",'Mapa final'!#REF!="Moderado"),CONCATENATE("R5C",'Mapa final'!#REF!),"")</f>
        <v>#REF!</v>
      </c>
      <c r="R60" s="106" t="e">
        <f>IF(AND('Mapa final'!#REF!="Alta",'Mapa final'!#REF!="Moderado"),CONCATENATE("R5C",'Mapa final'!#REF!),"")</f>
        <v>#REF!</v>
      </c>
      <c r="S60" s="105" t="e">
        <f>IF(AND('Mapa final'!#REF!="Alta",'Mapa final'!#REF!="Mayor"),CONCATENATE("R5C",'Mapa final'!#REF!),"")</f>
        <v>#REF!</v>
      </c>
      <c r="T60" s="42" t="e">
        <f>IF(AND('Mapa final'!#REF!="Alta",'Mapa final'!#REF!="Mayor"),CONCATENATE("R5C",'Mapa final'!#REF!),"")</f>
        <v>#REF!</v>
      </c>
      <c r="U60" s="106" t="e">
        <f>IF(AND('Mapa final'!#REF!="Alta",'Mapa final'!#REF!="Mayor"),CONCATENATE("R5C",'Mapa final'!#REF!),"")</f>
        <v>#REF!</v>
      </c>
      <c r="V60" s="43" t="e">
        <f>IF(AND('Mapa final'!#REF!="Alta",'Mapa final'!#REF!="Catastrófico"),CONCATENATE("R5C",'Mapa final'!#REF!),"")</f>
        <v>#REF!</v>
      </c>
      <c r="W60" s="44" t="e">
        <f>IF(AND('Mapa final'!#REF!="Alta",'Mapa final'!#REF!="Catastrófico"),CONCATENATE("R5C",'Mapa final'!#REF!),"")</f>
        <v>#REF!</v>
      </c>
      <c r="X60" s="100" t="e">
        <f>IF(AND('Mapa final'!#REF!="Alta",'Mapa final'!#REF!="Catastrófico"),CONCATENATE("R5C",'Mapa final'!#REF!),"")</f>
        <v>#REF!</v>
      </c>
      <c r="Y60" s="56"/>
      <c r="Z60" s="292"/>
      <c r="AA60" s="293"/>
      <c r="AB60" s="293"/>
      <c r="AC60" s="293"/>
      <c r="AD60" s="293"/>
      <c r="AE60" s="294"/>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row>
    <row r="61" spans="1:61" ht="12" customHeight="1" x14ac:dyDescent="0.35">
      <c r="A61" s="56"/>
      <c r="B61" s="307"/>
      <c r="C61" s="307"/>
      <c r="D61" s="308"/>
      <c r="E61" s="284"/>
      <c r="F61" s="297"/>
      <c r="G61" s="297"/>
      <c r="H61" s="297"/>
      <c r="I61" s="279"/>
      <c r="J61" s="49" t="str">
        <f>IF(AND('Mapa final'!$AB$16="Alta",'Mapa final'!$AD$16="Leve"),CONCATENATE("R6C",'Mapa final'!$R$16),"")</f>
        <v/>
      </c>
      <c r="K61" s="50" t="str">
        <f>IF(AND('Mapa final'!$AB$17="Alta",'Mapa final'!$AD$17="Leve"),CONCATENATE("R6C",'Mapa final'!$R$17),"")</f>
        <v/>
      </c>
      <c r="L61" s="111" t="str">
        <f>IF(AND('Mapa final'!$AB$18="Alta",'Mapa final'!$AD$18="Leve"),CONCATENATE("R6C",'Mapa final'!$R$18),"")</f>
        <v/>
      </c>
      <c r="M61" s="49" t="str">
        <f>IF(AND('Mapa final'!$AB$16="Alta",'Mapa final'!$AD$16="Menor"),CONCATENATE("R6C",'Mapa final'!$R$16),"")</f>
        <v/>
      </c>
      <c r="N61" s="50" t="str">
        <f>IF(AND('Mapa final'!$AB$17="Alta",'Mapa final'!$AD$17="Menor"),CONCATENATE("R6C",'Mapa final'!$R$17),"")</f>
        <v/>
      </c>
      <c r="O61" s="111" t="str">
        <f>IF(AND('Mapa final'!$AB$18="Alta",'Mapa final'!$AD$18="Menor"),CONCATENATE("R6C",'Mapa final'!$R$18),"")</f>
        <v/>
      </c>
      <c r="P61" s="105" t="str">
        <f>IF(AND('Mapa final'!$AB$16="Alta",'Mapa final'!$AD$16="Moderado"),CONCATENATE("R6C",'Mapa final'!$R$16),"")</f>
        <v/>
      </c>
      <c r="Q61" s="42" t="str">
        <f>IF(AND('Mapa final'!$AB$17="Alta",'Mapa final'!$AD$17="Moderado"),CONCATENATE("R6C",'Mapa final'!$R$17),"")</f>
        <v/>
      </c>
      <c r="R61" s="106" t="str">
        <f>IF(AND('Mapa final'!$AB$18="Alta",'Mapa final'!$AD$18="Moderado"),CONCATENATE("R6C",'Mapa final'!$R$18),"")</f>
        <v/>
      </c>
      <c r="S61" s="105" t="str">
        <f>IF(AND('Mapa final'!$AB$16="Alta",'Mapa final'!$AD$16="Mayor"),CONCATENATE("R6C",'Mapa final'!$R$16),"")</f>
        <v/>
      </c>
      <c r="T61" s="42" t="str">
        <f>IF(AND('Mapa final'!$AB$17="Alta",'Mapa final'!$AD$17="Mayor"),CONCATENATE("R6C",'Mapa final'!$R$17),"")</f>
        <v/>
      </c>
      <c r="U61" s="106" t="str">
        <f>IF(AND('Mapa final'!$AB$18="Alta",'Mapa final'!$AD$18="Mayor"),CONCATENATE("R6C",'Mapa final'!$R$18),"")</f>
        <v/>
      </c>
      <c r="V61" s="43" t="str">
        <f>IF(AND('Mapa final'!$AB$16="Alta",'Mapa final'!$AD$16="Catastrófico"),CONCATENATE("R6C",'Mapa final'!$R$16),"")</f>
        <v/>
      </c>
      <c r="W61" s="44" t="str">
        <f>IF(AND('Mapa final'!$AB$17="Alta",'Mapa final'!$AD$17="Catastrófico"),CONCATENATE("R6C",'Mapa final'!$R$17),"")</f>
        <v/>
      </c>
      <c r="X61" s="100" t="str">
        <f>IF(AND('Mapa final'!$AB$18="Alta",'Mapa final'!$AD$18="Catastrófico"),CONCATENATE("R6C",'Mapa final'!$R$18),"")</f>
        <v/>
      </c>
      <c r="Y61" s="56"/>
      <c r="Z61" s="292"/>
      <c r="AA61" s="293"/>
      <c r="AB61" s="293"/>
      <c r="AC61" s="293"/>
      <c r="AD61" s="293"/>
      <c r="AE61" s="294"/>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row>
    <row r="62" spans="1:61" ht="12" customHeight="1" x14ac:dyDescent="0.35">
      <c r="A62" s="56"/>
      <c r="B62" s="307"/>
      <c r="C62" s="307"/>
      <c r="D62" s="308"/>
      <c r="E62" s="284"/>
      <c r="F62" s="297"/>
      <c r="G62" s="297"/>
      <c r="H62" s="297"/>
      <c r="I62" s="279"/>
      <c r="J62" s="49" t="str">
        <f>IF(AND('Mapa final'!$AB$19="Alta",'Mapa final'!$AD$19="Leve"),CONCATENATE("R7C",'Mapa final'!$R$19),"")</f>
        <v/>
      </c>
      <c r="K62" s="50" t="str">
        <f>IF(AND('Mapa final'!$AB$20="Alta",'Mapa final'!$AD$20="Leve"),CONCATENATE("R7C",'Mapa final'!$R$20),"")</f>
        <v/>
      </c>
      <c r="L62" s="111" t="str">
        <f>IF(AND('Mapa final'!$AB$21="Alta",'Mapa final'!$AD$21="Leve"),CONCATENATE("R7C",'Mapa final'!$R$21),"")</f>
        <v/>
      </c>
      <c r="M62" s="49" t="str">
        <f>IF(AND('Mapa final'!$AB$19="Alta",'Mapa final'!$AD$19="Menor"),CONCATENATE("R7C",'Mapa final'!$R$19),"")</f>
        <v/>
      </c>
      <c r="N62" s="50" t="str">
        <f>IF(AND('Mapa final'!$AB$20="Alta",'Mapa final'!$AD$20="Menor"),CONCATENATE("R7C",'Mapa final'!$R$20),"")</f>
        <v/>
      </c>
      <c r="O62" s="111" t="str">
        <f>IF(AND('Mapa final'!$AB$21="Alta",'Mapa final'!$AD$21="Menor"),CONCATENATE("R7C",'Mapa final'!$R$21),"")</f>
        <v/>
      </c>
      <c r="P62" s="105" t="str">
        <f>IF(AND('Mapa final'!$AB$19="Alta",'Mapa final'!$AD$19="Moderado"),CONCATENATE("R7C",'Mapa final'!$R$19),"")</f>
        <v/>
      </c>
      <c r="Q62" s="42" t="str">
        <f>IF(AND('Mapa final'!$AB$20="Alta",'Mapa final'!$AD$20="Moderado"),CONCATENATE("R7C",'Mapa final'!$R$20),"")</f>
        <v/>
      </c>
      <c r="R62" s="106" t="str">
        <f>IF(AND('Mapa final'!$AB$21="Alta",'Mapa final'!$AD$21="Moderado"),CONCATENATE("R7C",'Mapa final'!$R$21),"")</f>
        <v/>
      </c>
      <c r="S62" s="105" t="str">
        <f>IF(AND('Mapa final'!$AB$19="Alta",'Mapa final'!$AD$19="Mayor"),CONCATENATE("R7C",'Mapa final'!$R$19),"")</f>
        <v/>
      </c>
      <c r="T62" s="42" t="str">
        <f>IF(AND('Mapa final'!$AB$20="Alta",'Mapa final'!$AD$20="Mayor"),CONCATENATE("R7C",'Mapa final'!$R$20),"")</f>
        <v/>
      </c>
      <c r="U62" s="106" t="str">
        <f>IF(AND('Mapa final'!$AB$21="Alta",'Mapa final'!$AD$21="Mayor"),CONCATENATE("R7C",'Mapa final'!$R$21),"")</f>
        <v/>
      </c>
      <c r="V62" s="43" t="str">
        <f>IF(AND('Mapa final'!$AB$19="Alta",'Mapa final'!$AD$19="Catastrófico"),CONCATENATE("R7C",'Mapa final'!$R$19),"")</f>
        <v/>
      </c>
      <c r="W62" s="44" t="str">
        <f>IF(AND('Mapa final'!$AB$20="Alta",'Mapa final'!$AD$20="Catastrófico"),CONCATENATE("R7C",'Mapa final'!$R$20),"")</f>
        <v/>
      </c>
      <c r="X62" s="100" t="str">
        <f>IF(AND('Mapa final'!$AB$21="Alta",'Mapa final'!$AD$21="Catastrófico"),CONCATENATE("R7C",'Mapa final'!$R$21),"")</f>
        <v/>
      </c>
      <c r="Y62" s="56"/>
      <c r="Z62" s="292"/>
      <c r="AA62" s="293"/>
      <c r="AB62" s="293"/>
      <c r="AC62" s="293"/>
      <c r="AD62" s="293"/>
      <c r="AE62" s="294"/>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row>
    <row r="63" spans="1:61" ht="12" customHeight="1" x14ac:dyDescent="0.35">
      <c r="A63" s="56"/>
      <c r="B63" s="307"/>
      <c r="C63" s="307"/>
      <c r="D63" s="308"/>
      <c r="E63" s="284"/>
      <c r="F63" s="297"/>
      <c r="G63" s="297"/>
      <c r="H63" s="297"/>
      <c r="I63" s="279"/>
      <c r="J63" s="49" t="str">
        <f>IF(AND('Mapa final'!$AB$22="Alta",'Mapa final'!$AD$22="Leve"),CONCATENATE("R8C",'Mapa final'!$R$22),"")</f>
        <v/>
      </c>
      <c r="K63" s="50" t="str">
        <f>IF(AND('Mapa final'!$AB$23="Alta",'Mapa final'!$AD$23="Leve"),CONCATENATE("R8C",'Mapa final'!$R$23),"")</f>
        <v/>
      </c>
      <c r="L63" s="111" t="str">
        <f>IF(AND('Mapa final'!$AB$24="Alta",'Mapa final'!$AD$24="Leve"),CONCATENATE("R8C",'Mapa final'!$R$24),"")</f>
        <v/>
      </c>
      <c r="M63" s="49" t="str">
        <f>IF(AND('Mapa final'!$AB$22="Alta",'Mapa final'!$AD$22="Menor"),CONCATENATE("R8C",'Mapa final'!$R$22),"")</f>
        <v/>
      </c>
      <c r="N63" s="50" t="str">
        <f>IF(AND('Mapa final'!$AB$23="Alta",'Mapa final'!$AD$23="Menor"),CONCATENATE("R8C",'Mapa final'!$R$23),"")</f>
        <v/>
      </c>
      <c r="O63" s="111" t="str">
        <f>IF(AND('Mapa final'!$AB$24="Alta",'Mapa final'!$AD$24="Menor"),CONCATENATE("R8C",'Mapa final'!$R$24),"")</f>
        <v/>
      </c>
      <c r="P63" s="105" t="str">
        <f>IF(AND('Mapa final'!$AB$22="Alta",'Mapa final'!$AD$22="Moderado"),CONCATENATE("R8C",'Mapa final'!$R$22),"")</f>
        <v/>
      </c>
      <c r="Q63" s="42" t="str">
        <f>IF(AND('Mapa final'!$AB$23="Alta",'Mapa final'!$AD$23="Moderado"),CONCATENATE("R8C",'Mapa final'!$R$23),"")</f>
        <v/>
      </c>
      <c r="R63" s="106" t="str">
        <f>IF(AND('Mapa final'!$AB$24="Alta",'Mapa final'!$AD$24="Moderado"),CONCATENATE("R8C",'Mapa final'!$R$24),"")</f>
        <v/>
      </c>
      <c r="S63" s="105" t="str">
        <f>IF(AND('Mapa final'!$AB$22="Alta",'Mapa final'!$AD$22="Mayor"),CONCATENATE("R8C",'Mapa final'!$R$22),"")</f>
        <v/>
      </c>
      <c r="T63" s="42" t="str">
        <f>IF(AND('Mapa final'!$AB$23="Alta",'Mapa final'!$AD$23="Mayor"),CONCATENATE("R8C",'Mapa final'!$R$23),"")</f>
        <v/>
      </c>
      <c r="U63" s="106" t="str">
        <f>IF(AND('Mapa final'!$AB$24="Alta",'Mapa final'!$AD$24="Mayor"),CONCATENATE("R8C",'Mapa final'!$R$24),"")</f>
        <v/>
      </c>
      <c r="V63" s="43" t="str">
        <f>IF(AND('Mapa final'!$AB$22="Alta",'Mapa final'!$AD$22="Catastrófico"),CONCATENATE("R8C",'Mapa final'!$R$22),"")</f>
        <v/>
      </c>
      <c r="W63" s="44" t="str">
        <f>IF(AND('Mapa final'!$AB$23="Alta",'Mapa final'!$AD$23="Catastrófico"),CONCATENATE("R8C",'Mapa final'!$R$23),"")</f>
        <v/>
      </c>
      <c r="X63" s="100" t="str">
        <f>IF(AND('Mapa final'!$AB$24="Alta",'Mapa final'!$AD$24="Catastrófico"),CONCATENATE("R8C",'Mapa final'!$R$24),"")</f>
        <v/>
      </c>
      <c r="Y63" s="56"/>
      <c r="Z63" s="292"/>
      <c r="AA63" s="293"/>
      <c r="AB63" s="293"/>
      <c r="AC63" s="293"/>
      <c r="AD63" s="293"/>
      <c r="AE63" s="294"/>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row>
    <row r="64" spans="1:61" ht="12" customHeight="1" x14ac:dyDescent="0.35">
      <c r="A64" s="56"/>
      <c r="B64" s="307"/>
      <c r="C64" s="307"/>
      <c r="D64" s="308"/>
      <c r="E64" s="284"/>
      <c r="F64" s="297"/>
      <c r="G64" s="297"/>
      <c r="H64" s="297"/>
      <c r="I64" s="279"/>
      <c r="J64" s="49" t="str">
        <f>IF(AND('Mapa final'!$AB$25="Alta",'Mapa final'!$AD$25="Leve"),CONCATENATE("R9C",'Mapa final'!$R$25),"")</f>
        <v/>
      </c>
      <c r="K64" s="50" t="str">
        <f>IF(AND('Mapa final'!$AB$26="Alta",'Mapa final'!$AD$26="Leve"),CONCATENATE("R9C",'Mapa final'!$R$26),"")</f>
        <v/>
      </c>
      <c r="L64" s="111" t="str">
        <f>IF(AND('Mapa final'!$AB$27="Alta",'Mapa final'!$AD$27="Leve"),CONCATENATE("R9C",'Mapa final'!$R$27),"")</f>
        <v/>
      </c>
      <c r="M64" s="49" t="str">
        <f>IF(AND('Mapa final'!$AB$25="Alta",'Mapa final'!$AD$25="Menor"),CONCATENATE("R9C",'Mapa final'!$R$25),"")</f>
        <v/>
      </c>
      <c r="N64" s="50" t="str">
        <f>IF(AND('Mapa final'!$AB$26="Alta",'Mapa final'!$AD$26="Menor"),CONCATENATE("R9C",'Mapa final'!$R$26),"")</f>
        <v/>
      </c>
      <c r="O64" s="111" t="str">
        <f>IF(AND('Mapa final'!$AB$27="Alta",'Mapa final'!$AD$27="Menor"),CONCATENATE("R9C",'Mapa final'!$R$27),"")</f>
        <v/>
      </c>
      <c r="P64" s="105" t="str">
        <f>IF(AND('Mapa final'!$AB$25="Alta",'Mapa final'!$AD$25="Moderado"),CONCATENATE("R9C",'Mapa final'!$R$25),"")</f>
        <v/>
      </c>
      <c r="Q64" s="42" t="str">
        <f>IF(AND('Mapa final'!$AB$26="Alta",'Mapa final'!$AD$26="Moderado"),CONCATENATE("R9C",'Mapa final'!$R$26),"")</f>
        <v/>
      </c>
      <c r="R64" s="106" t="str">
        <f>IF(AND('Mapa final'!$AB$27="Alta",'Mapa final'!$AD$27="Moderado"),CONCATENATE("R9C",'Mapa final'!$R$27),"")</f>
        <v/>
      </c>
      <c r="S64" s="105" t="str">
        <f>IF(AND('Mapa final'!$AB$25="Alta",'Mapa final'!$AD$25="Mayor"),CONCATENATE("R9C",'Mapa final'!$R$25),"")</f>
        <v/>
      </c>
      <c r="T64" s="42" t="str">
        <f>IF(AND('Mapa final'!$AB$26="Alta",'Mapa final'!$AD$26="Mayor"),CONCATENATE("R9C",'Mapa final'!$R$26),"")</f>
        <v/>
      </c>
      <c r="U64" s="106" t="str">
        <f>IF(AND('Mapa final'!$AB$27="Alta",'Mapa final'!$AD$27="Mayor"),CONCATENATE("R9C",'Mapa final'!$R$27),"")</f>
        <v/>
      </c>
      <c r="V64" s="43" t="str">
        <f>IF(AND('Mapa final'!$AB$25="Alta",'Mapa final'!$AD$25="Catastrófico"),CONCATENATE("R9C",'Mapa final'!$R$25),"")</f>
        <v/>
      </c>
      <c r="W64" s="44" t="str">
        <f>IF(AND('Mapa final'!$AB$26="Alta",'Mapa final'!$AD$26="Catastrófico"),CONCATENATE("R9C",'Mapa final'!$R$26),"")</f>
        <v/>
      </c>
      <c r="X64" s="100" t="str">
        <f>IF(AND('Mapa final'!$AB$27="Alta",'Mapa final'!$AD$27="Catastrófico"),CONCATENATE("R9C",'Mapa final'!$R$27),"")</f>
        <v/>
      </c>
      <c r="Y64" s="56"/>
      <c r="Z64" s="292"/>
      <c r="AA64" s="293"/>
      <c r="AB64" s="293"/>
      <c r="AC64" s="293"/>
      <c r="AD64" s="293"/>
      <c r="AE64" s="294"/>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row>
    <row r="65" spans="1:61" ht="12" customHeight="1" x14ac:dyDescent="0.35">
      <c r="A65" s="56"/>
      <c r="B65" s="307"/>
      <c r="C65" s="307"/>
      <c r="D65" s="308"/>
      <c r="E65" s="284"/>
      <c r="F65" s="297"/>
      <c r="G65" s="297"/>
      <c r="H65" s="297"/>
      <c r="I65" s="279"/>
      <c r="J65" s="49" t="str">
        <f>IF(AND('Mapa final'!$AB$28="Alta",'Mapa final'!$AD$28="Leve"),CONCATENATE("R10C",'Mapa final'!$R$28),"")</f>
        <v/>
      </c>
      <c r="K65" s="50" t="str">
        <f>IF(AND('Mapa final'!$AB$29="Alta",'Mapa final'!$AD$29="Leve"),CONCATENATE("R10C",'Mapa final'!$R$29),"")</f>
        <v/>
      </c>
      <c r="L65" s="111" t="str">
        <f>IF(AND('Mapa final'!$AB$30="Alta",'Mapa final'!$AD$30="Leve"),CONCATENATE("R10C",'Mapa final'!$R$30),"")</f>
        <v/>
      </c>
      <c r="M65" s="49" t="str">
        <f>IF(AND('Mapa final'!$AB$28="Alta",'Mapa final'!$AD$28="Menor"),CONCATENATE("R10C",'Mapa final'!$R$28),"")</f>
        <v/>
      </c>
      <c r="N65" s="50" t="str">
        <f>IF(AND('Mapa final'!$AB$29="Alta",'Mapa final'!$AD$29="Menor"),CONCATENATE("R10C",'Mapa final'!$R$29),"")</f>
        <v/>
      </c>
      <c r="O65" s="111" t="str">
        <f>IF(AND('Mapa final'!$AB$30="Alta",'Mapa final'!$AD$30="Menor"),CONCATENATE("R10C",'Mapa final'!$R$30),"")</f>
        <v/>
      </c>
      <c r="P65" s="105" t="str">
        <f>IF(AND('Mapa final'!$AB$28="Alta",'Mapa final'!$AD$28="Moderado"),CONCATENATE("R10C",'Mapa final'!$R$28),"")</f>
        <v/>
      </c>
      <c r="Q65" s="42" t="str">
        <f>IF(AND('Mapa final'!$AB$29="Alta",'Mapa final'!$AD$29="Moderado"),CONCATENATE("R10C",'Mapa final'!$R$29),"")</f>
        <v/>
      </c>
      <c r="R65" s="106" t="str">
        <f>IF(AND('Mapa final'!$AB$30="Alta",'Mapa final'!$AD$30="Moderado"),CONCATENATE("R10C",'Mapa final'!$R$30),"")</f>
        <v/>
      </c>
      <c r="S65" s="105" t="str">
        <f>IF(AND('Mapa final'!$AB$28="Alta",'Mapa final'!$AD$28="Mayor"),CONCATENATE("R10C",'Mapa final'!$R$28),"")</f>
        <v/>
      </c>
      <c r="T65" s="42" t="str">
        <f>IF(AND('Mapa final'!$AB$29="Alta",'Mapa final'!$AD$29="Mayor"),CONCATENATE("R10C",'Mapa final'!$R$29),"")</f>
        <v/>
      </c>
      <c r="U65" s="106" t="str">
        <f>IF(AND('Mapa final'!$AB$30="Alta",'Mapa final'!$AD$30="Mayor"),CONCATENATE("R10C",'Mapa final'!$R$30),"")</f>
        <v/>
      </c>
      <c r="V65" s="43" t="str">
        <f>IF(AND('Mapa final'!$AB$28="Alta",'Mapa final'!$AD$28="Catastrófico"),CONCATENATE("R10C",'Mapa final'!$R$28),"")</f>
        <v/>
      </c>
      <c r="W65" s="44" t="str">
        <f>IF(AND('Mapa final'!$AB$29="Alta",'Mapa final'!$AD$29="Catastrófico"),CONCATENATE("R10C",'Mapa final'!$R$29),"")</f>
        <v/>
      </c>
      <c r="X65" s="100" t="str">
        <f>IF(AND('Mapa final'!$AB$30="Alta",'Mapa final'!$AD$30="Catastrófico"),CONCATENATE("R10C",'Mapa final'!$R$30),"")</f>
        <v/>
      </c>
      <c r="Y65" s="56"/>
      <c r="Z65" s="292"/>
      <c r="AA65" s="293"/>
      <c r="AB65" s="293"/>
      <c r="AC65" s="293"/>
      <c r="AD65" s="293"/>
      <c r="AE65" s="294"/>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row>
    <row r="66" spans="1:61" ht="12" customHeight="1" x14ac:dyDescent="0.35">
      <c r="A66" s="56"/>
      <c r="B66" s="307"/>
      <c r="C66" s="307"/>
      <c r="D66" s="308"/>
      <c r="E66" s="284"/>
      <c r="F66" s="297"/>
      <c r="G66" s="297"/>
      <c r="H66" s="297"/>
      <c r="I66" s="279"/>
      <c r="J66" s="49" t="str">
        <f>IF(AND('Mapa final'!$AB$31="Alta",'Mapa final'!$AD$31="Leve"),CONCATENATE("R11C",'Mapa final'!$R$31),"")</f>
        <v/>
      </c>
      <c r="K66" s="50" t="str">
        <f>IF(AND('Mapa final'!$AB$32="Alta",'Mapa final'!$AD$32="Leve"),CONCATENATE("R11C",'Mapa final'!$R$32),"")</f>
        <v/>
      </c>
      <c r="L66" s="111" t="str">
        <f>IF(AND('Mapa final'!$AB$33="Alta",'Mapa final'!$AD$33="Leve"),CONCATENATE("R11C",'Mapa final'!$R$33),"")</f>
        <v/>
      </c>
      <c r="M66" s="49" t="str">
        <f>IF(AND('Mapa final'!$AB$31="Alta",'Mapa final'!$AD$31="Menor"),CONCATENATE("R11C",'Mapa final'!$R$31),"")</f>
        <v/>
      </c>
      <c r="N66" s="50" t="str">
        <f>IF(AND('Mapa final'!$AB$32="Alta",'Mapa final'!$AD$32="Menor"),CONCATENATE("R11C",'Mapa final'!$R$32),"")</f>
        <v/>
      </c>
      <c r="O66" s="111" t="str">
        <f>IF(AND('Mapa final'!$AB$33="Alta",'Mapa final'!$AD$33="Menor"),CONCATENATE("R11C",'Mapa final'!$R$33),"")</f>
        <v/>
      </c>
      <c r="P66" s="105" t="str">
        <f>IF(AND('Mapa final'!$AB$31="Alta",'Mapa final'!$AD$31="Moderado"),CONCATENATE("R11C",'Mapa final'!$R$31),"")</f>
        <v/>
      </c>
      <c r="Q66" s="42" t="str">
        <f>IF(AND('Mapa final'!$AB$32="Alta",'Mapa final'!$AD$32="Moderado"),CONCATENATE("R11C",'Mapa final'!$R$32),"")</f>
        <v/>
      </c>
      <c r="R66" s="106" t="str">
        <f>IF(AND('Mapa final'!$AB$33="Alta",'Mapa final'!$AD$33="Moderado"),CONCATENATE("R11C",'Mapa final'!$R$33),"")</f>
        <v/>
      </c>
      <c r="S66" s="105" t="str">
        <f>IF(AND('Mapa final'!$AB$31="Alta",'Mapa final'!$AD$31="Mayor"),CONCATENATE("R11C",'Mapa final'!$R$31),"")</f>
        <v/>
      </c>
      <c r="T66" s="42" t="str">
        <f>IF(AND('Mapa final'!$AB$32="Alta",'Mapa final'!$AD$32="Mayor"),CONCATENATE("R11C",'Mapa final'!$R$32),"")</f>
        <v/>
      </c>
      <c r="U66" s="106" t="str">
        <f>IF(AND('Mapa final'!$AB$33="Alta",'Mapa final'!$AD$33="Mayor"),CONCATENATE("R11C",'Mapa final'!$R$33),"")</f>
        <v/>
      </c>
      <c r="V66" s="43" t="str">
        <f>IF(AND('Mapa final'!$AB$31="Alta",'Mapa final'!$AD$31="Catastrófico"),CONCATENATE("R11C",'Mapa final'!$R$31),"")</f>
        <v/>
      </c>
      <c r="W66" s="44" t="str">
        <f>IF(AND('Mapa final'!$AB$32="Alta",'Mapa final'!$AD$32="Catastrófico"),CONCATENATE("R11C",'Mapa final'!$R$32),"")</f>
        <v/>
      </c>
      <c r="X66" s="100" t="str">
        <f>IF(AND('Mapa final'!$AB$33="Alta",'Mapa final'!$AD$33="Catastrófico"),CONCATENATE("R11C",'Mapa final'!$R$33),"")</f>
        <v/>
      </c>
      <c r="Y66" s="56"/>
      <c r="Z66" s="292"/>
      <c r="AA66" s="293"/>
      <c r="AB66" s="293"/>
      <c r="AC66" s="293"/>
      <c r="AD66" s="293"/>
      <c r="AE66" s="294"/>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row>
    <row r="67" spans="1:61" ht="12" customHeight="1" x14ac:dyDescent="0.35">
      <c r="A67" s="56"/>
      <c r="B67" s="307"/>
      <c r="C67" s="307"/>
      <c r="D67" s="308"/>
      <c r="E67" s="284"/>
      <c r="F67" s="297"/>
      <c r="G67" s="297"/>
      <c r="H67" s="297"/>
      <c r="I67" s="279"/>
      <c r="J67" s="49" t="str">
        <f>IF(AND('Mapa final'!$AB$34="Alta",'Mapa final'!$AD$34="Leve"),CONCATENATE("R12C",'Mapa final'!$R$34),"")</f>
        <v/>
      </c>
      <c r="K67" s="50" t="str">
        <f>IF(AND('Mapa final'!$AB$35="Alta",'Mapa final'!$AD$35="Leve"),CONCATENATE("R12C",'Mapa final'!$R$35),"")</f>
        <v/>
      </c>
      <c r="L67" s="111" t="str">
        <f>IF(AND('Mapa final'!$AB$36="Alta",'Mapa final'!$AD$36="Leve"),CONCATENATE("R12C",'Mapa final'!$R$36),"")</f>
        <v/>
      </c>
      <c r="M67" s="49" t="str">
        <f>IF(AND('Mapa final'!$AB$34="Alta",'Mapa final'!$AD$34="Menor"),CONCATENATE("R12C",'Mapa final'!$R$34),"")</f>
        <v/>
      </c>
      <c r="N67" s="50" t="str">
        <f>IF(AND('Mapa final'!$AB$35="Alta",'Mapa final'!$AD$35="Menor"),CONCATENATE("R12C",'Mapa final'!$R$35),"")</f>
        <v/>
      </c>
      <c r="O67" s="111" t="str">
        <f>IF(AND('Mapa final'!$AB$36="Alta",'Mapa final'!$AD$36="Menor"),CONCATENATE("R12C",'Mapa final'!$R$36),"")</f>
        <v/>
      </c>
      <c r="P67" s="105" t="str">
        <f>IF(AND('Mapa final'!$AB$34="Alta",'Mapa final'!$AD$34="Moderado"),CONCATENATE("R12C",'Mapa final'!$R$34),"")</f>
        <v/>
      </c>
      <c r="Q67" s="42" t="str">
        <f>IF(AND('Mapa final'!$AB$35="Alta",'Mapa final'!$AD$35="Moderado"),CONCATENATE("R12C",'Mapa final'!$R$35),"")</f>
        <v/>
      </c>
      <c r="R67" s="106" t="str">
        <f>IF(AND('Mapa final'!$AB$36="Alta",'Mapa final'!$AD$36="Moderado"),CONCATENATE("R12C",'Mapa final'!$R$36),"")</f>
        <v/>
      </c>
      <c r="S67" s="105" t="str">
        <f>IF(AND('Mapa final'!$AB$34="Alta",'Mapa final'!$AD$34="Mayor"),CONCATENATE("R12C",'Mapa final'!$R$34),"")</f>
        <v/>
      </c>
      <c r="T67" s="42" t="str">
        <f>IF(AND('Mapa final'!$AB$35="Alta",'Mapa final'!$AD$35="Mayor"),CONCATENATE("R12C",'Mapa final'!$R$35),"")</f>
        <v/>
      </c>
      <c r="U67" s="106" t="str">
        <f>IF(AND('Mapa final'!$AB$36="Alta",'Mapa final'!$AD$36="Mayor"),CONCATENATE("R12C",'Mapa final'!$R$36),"")</f>
        <v/>
      </c>
      <c r="V67" s="43" t="str">
        <f>IF(AND('Mapa final'!$AB$34="Alta",'Mapa final'!$AD$34="Catastrófico"),CONCATENATE("R12C",'Mapa final'!$R$34),"")</f>
        <v/>
      </c>
      <c r="W67" s="44" t="str">
        <f>IF(AND('Mapa final'!$AB$35="Alta",'Mapa final'!$AD$35="Catastrófico"),CONCATENATE("R12C",'Mapa final'!$R$35),"")</f>
        <v/>
      </c>
      <c r="X67" s="100" t="str">
        <f>IF(AND('Mapa final'!$AB$36="Alta",'Mapa final'!$AD$36="Catastrófico"),CONCATENATE("R12C",'Mapa final'!$R$36),"")</f>
        <v/>
      </c>
      <c r="Y67" s="56"/>
      <c r="Z67" s="292"/>
      <c r="AA67" s="293"/>
      <c r="AB67" s="293"/>
      <c r="AC67" s="293"/>
      <c r="AD67" s="293"/>
      <c r="AE67" s="294"/>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row>
    <row r="68" spans="1:61" ht="12" customHeight="1" x14ac:dyDescent="0.35">
      <c r="A68" s="56"/>
      <c r="B68" s="307"/>
      <c r="C68" s="307"/>
      <c r="D68" s="308"/>
      <c r="E68" s="284"/>
      <c r="F68" s="297"/>
      <c r="G68" s="297"/>
      <c r="H68" s="297"/>
      <c r="I68" s="279"/>
      <c r="J68" s="49" t="str">
        <f>IF(AND('Mapa final'!$AB$37="Alta",'Mapa final'!$AD$37="Leve"),CONCATENATE("R13C",'Mapa final'!$R$37),"")</f>
        <v/>
      </c>
      <c r="K68" s="50" t="str">
        <f>IF(AND('Mapa final'!$AB$38="Alta",'Mapa final'!$AD$38="Leve"),CONCATENATE("R13C",'Mapa final'!$R$38),"")</f>
        <v/>
      </c>
      <c r="L68" s="111" t="str">
        <f>IF(AND('Mapa final'!$AB$39="Alta",'Mapa final'!$AD$39="Leve"),CONCATENATE("R13C",'Mapa final'!$R$39),"")</f>
        <v/>
      </c>
      <c r="M68" s="49" t="str">
        <f>IF(AND('Mapa final'!$AB$37="Alta",'Mapa final'!$AD$37="Menor"),CONCATENATE("R13C",'Mapa final'!$R$37),"")</f>
        <v/>
      </c>
      <c r="N68" s="50" t="str">
        <f>IF(AND('Mapa final'!$AB$38="Alta",'Mapa final'!$AD$38="Menor"),CONCATENATE("R13C",'Mapa final'!$R$38),"")</f>
        <v/>
      </c>
      <c r="O68" s="111" t="str">
        <f>IF(AND('Mapa final'!$AB$39="Alta",'Mapa final'!$AD$39="Menor"),CONCATENATE("R13C",'Mapa final'!$R$39),"")</f>
        <v/>
      </c>
      <c r="P68" s="105" t="str">
        <f>IF(AND('Mapa final'!$AB$37="Alta",'Mapa final'!$AD$37="Moderado"),CONCATENATE("R13C",'Mapa final'!$R$37),"")</f>
        <v/>
      </c>
      <c r="Q68" s="42" t="str">
        <f>IF(AND('Mapa final'!$AB$38="Alta",'Mapa final'!$AD$38="Moderado"),CONCATENATE("R13C",'Mapa final'!$R$38),"")</f>
        <v/>
      </c>
      <c r="R68" s="106" t="str">
        <f>IF(AND('Mapa final'!$AB$39="Alta",'Mapa final'!$AD$39="Moderado"),CONCATENATE("R13C",'Mapa final'!$R$39),"")</f>
        <v/>
      </c>
      <c r="S68" s="105" t="str">
        <f>IF(AND('Mapa final'!$AB$37="Alta",'Mapa final'!$AD$37="Mayor"),CONCATENATE("R13C",'Mapa final'!$R$37),"")</f>
        <v/>
      </c>
      <c r="T68" s="42" t="str">
        <f>IF(AND('Mapa final'!$AB$38="Alta",'Mapa final'!$AD$38="Mayor"),CONCATENATE("R13C",'Mapa final'!$R$38),"")</f>
        <v/>
      </c>
      <c r="U68" s="106" t="str">
        <f>IF(AND('Mapa final'!$AB$39="Alta",'Mapa final'!$AD$39="Mayor"),CONCATENATE("R13C",'Mapa final'!$R$39),"")</f>
        <v/>
      </c>
      <c r="V68" s="43" t="str">
        <f>IF(AND('Mapa final'!$AB$37="Alta",'Mapa final'!$AD$37="Catastrófico"),CONCATENATE("R13C",'Mapa final'!$R$37),"")</f>
        <v/>
      </c>
      <c r="W68" s="44" t="str">
        <f>IF(AND('Mapa final'!$AB$38="Alta",'Mapa final'!$AD$38="Catastrófico"),CONCATENATE("R13C",'Mapa final'!$R$38),"")</f>
        <v/>
      </c>
      <c r="X68" s="100" t="str">
        <f>IF(AND('Mapa final'!$AB$39="Alta",'Mapa final'!$AD$39="Catastrófico"),CONCATENATE("R13C",'Mapa final'!$R$39),"")</f>
        <v/>
      </c>
      <c r="Y68" s="56"/>
      <c r="Z68" s="292"/>
      <c r="AA68" s="293"/>
      <c r="AB68" s="293"/>
      <c r="AC68" s="293"/>
      <c r="AD68" s="293"/>
      <c r="AE68" s="294"/>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row>
    <row r="69" spans="1:61" ht="12" customHeight="1" x14ac:dyDescent="0.35">
      <c r="A69" s="56"/>
      <c r="B69" s="307"/>
      <c r="C69" s="307"/>
      <c r="D69" s="308"/>
      <c r="E69" s="284"/>
      <c r="F69" s="297"/>
      <c r="G69" s="297"/>
      <c r="H69" s="297"/>
      <c r="I69" s="279"/>
      <c r="J69" s="49" t="str">
        <f>IF(AND('Mapa final'!$AB$40="Alta",'Mapa final'!$AD$40="Leve"),CONCATENATE("R14C",'Mapa final'!$R$40),"")</f>
        <v/>
      </c>
      <c r="K69" s="50" t="str">
        <f>IF(AND('Mapa final'!$AB$41="Alta",'Mapa final'!$AD$41="Leve"),CONCATENATE("R14C",'Mapa final'!$R$41),"")</f>
        <v/>
      </c>
      <c r="L69" s="111" t="str">
        <f>IF(AND('Mapa final'!$AB$42="Alta",'Mapa final'!$AD$42="Leve"),CONCATENATE("R14C",'Mapa final'!$R$42),"")</f>
        <v/>
      </c>
      <c r="M69" s="49" t="str">
        <f>IF(AND('Mapa final'!$AB$40="Alta",'Mapa final'!$AD$40="Menor"),CONCATENATE("R14C",'Mapa final'!$R$40),"")</f>
        <v/>
      </c>
      <c r="N69" s="50" t="str">
        <f>IF(AND('Mapa final'!$AB$41="Alta",'Mapa final'!$AD$41="Menor"),CONCATENATE("R14C",'Mapa final'!$R$41),"")</f>
        <v/>
      </c>
      <c r="O69" s="111" t="str">
        <f>IF(AND('Mapa final'!$AB$42="Alta",'Mapa final'!$AD$42="Menor"),CONCATENATE("R14C",'Mapa final'!$R$42),"")</f>
        <v/>
      </c>
      <c r="P69" s="105" t="str">
        <f>IF(AND('Mapa final'!$AB$40="Alta",'Mapa final'!$AD$40="Moderado"),CONCATENATE("R14C",'Mapa final'!$R$40),"")</f>
        <v/>
      </c>
      <c r="Q69" s="42" t="str">
        <f>IF(AND('Mapa final'!$AB$41="Alta",'Mapa final'!$AD$41="Moderado"),CONCATENATE("R14C",'Mapa final'!$R$41),"")</f>
        <v/>
      </c>
      <c r="R69" s="106" t="str">
        <f>IF(AND('Mapa final'!$AB$42="Alta",'Mapa final'!$AD$42="Moderado"),CONCATENATE("R14C",'Mapa final'!$R$42),"")</f>
        <v/>
      </c>
      <c r="S69" s="105" t="str">
        <f>IF(AND('Mapa final'!$AB$40="Alta",'Mapa final'!$AD$40="Mayor"),CONCATENATE("R14C",'Mapa final'!$R$40),"")</f>
        <v/>
      </c>
      <c r="T69" s="42" t="str">
        <f>IF(AND('Mapa final'!$AB$41="Alta",'Mapa final'!$AD$41="Mayor"),CONCATENATE("R14C",'Mapa final'!$R$41),"")</f>
        <v/>
      </c>
      <c r="U69" s="106" t="str">
        <f>IF(AND('Mapa final'!$AB$42="Alta",'Mapa final'!$AD$42="Mayor"),CONCATENATE("R14C",'Mapa final'!$R$42),"")</f>
        <v/>
      </c>
      <c r="V69" s="43" t="str">
        <f>IF(AND('Mapa final'!$AB$40="Alta",'Mapa final'!$AD$40="Catastrófico"),CONCATENATE("R14C",'Mapa final'!$R$40),"")</f>
        <v/>
      </c>
      <c r="W69" s="44" t="str">
        <f>IF(AND('Mapa final'!$AB$41="Alta",'Mapa final'!$AD$41="Catastrófico"),CONCATENATE("R14C",'Mapa final'!$R$41),"")</f>
        <v/>
      </c>
      <c r="X69" s="100" t="str">
        <f>IF(AND('Mapa final'!$AB$42="Alta",'Mapa final'!$AD$42="Catastrófico"),CONCATENATE("R14C",'Mapa final'!$R$42),"")</f>
        <v/>
      </c>
      <c r="Y69" s="56"/>
      <c r="Z69" s="292"/>
      <c r="AA69" s="293"/>
      <c r="AB69" s="293"/>
      <c r="AC69" s="293"/>
      <c r="AD69" s="293"/>
      <c r="AE69" s="294"/>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row>
    <row r="70" spans="1:61" ht="15" customHeight="1" x14ac:dyDescent="0.35">
      <c r="A70" s="56"/>
      <c r="B70" s="307"/>
      <c r="C70" s="307"/>
      <c r="D70" s="308"/>
      <c r="E70" s="284"/>
      <c r="F70" s="297"/>
      <c r="G70" s="297"/>
      <c r="H70" s="297"/>
      <c r="I70" s="279"/>
      <c r="J70" s="49" t="str">
        <f>IF(AND('Mapa final'!$AB$43="Alta",'Mapa final'!$AD$43="Leve"),CONCATENATE("R15C",'Mapa final'!$R$43),"")</f>
        <v/>
      </c>
      <c r="K70" s="50" t="str">
        <f>IF(AND('Mapa final'!$AB$44="Alta",'Mapa final'!$AD$44="Leve"),CONCATENATE("R15C",'Mapa final'!$R$44),"")</f>
        <v/>
      </c>
      <c r="L70" s="111" t="str">
        <f>IF(AND('Mapa final'!$AB$45="Alta",'Mapa final'!$AD$45="Leve"),CONCATENATE("R15C",'Mapa final'!$R$45),"")</f>
        <v/>
      </c>
      <c r="M70" s="49" t="str">
        <f>IF(AND('Mapa final'!$AB$43="Alta",'Mapa final'!$AD$43="Menor"),CONCATENATE("R15C",'Mapa final'!$R$43),"")</f>
        <v/>
      </c>
      <c r="N70" s="50" t="str">
        <f>IF(AND('Mapa final'!$AB$44="Alta",'Mapa final'!$AD$44="Menor"),CONCATENATE("R15C",'Mapa final'!$R$44),"")</f>
        <v/>
      </c>
      <c r="O70" s="111" t="str">
        <f>IF(AND('Mapa final'!$AB$45="Alta",'Mapa final'!$AD$45="Menor"),CONCATENATE("R15C",'Mapa final'!$R$45),"")</f>
        <v/>
      </c>
      <c r="P70" s="105" t="str">
        <f>IF(AND('Mapa final'!$AB$43="Alta",'Mapa final'!$AD$43="Moderado"),CONCATENATE("R15C",'Mapa final'!$R$43),"")</f>
        <v/>
      </c>
      <c r="Q70" s="42" t="str">
        <f>IF(AND('Mapa final'!$AB$44="Alta",'Mapa final'!$AD$44="Moderado"),CONCATENATE("R15C",'Mapa final'!$R$44),"")</f>
        <v/>
      </c>
      <c r="R70" s="106" t="str">
        <f>IF(AND('Mapa final'!$AB$45="Alta",'Mapa final'!$AD$45="Moderado"),CONCATENATE("R15C",'Mapa final'!$R$45),"")</f>
        <v/>
      </c>
      <c r="S70" s="105" t="str">
        <f>IF(AND('Mapa final'!$AB$43="Alta",'Mapa final'!$AD$43="Mayor"),CONCATENATE("R15C",'Mapa final'!$R$43),"")</f>
        <v/>
      </c>
      <c r="T70" s="42" t="str">
        <f>IF(AND('Mapa final'!$AB$44="Alta",'Mapa final'!$AD$44="Mayor"),CONCATENATE("R15C",'Mapa final'!$R$44),"")</f>
        <v/>
      </c>
      <c r="U70" s="106" t="str">
        <f>IF(AND('Mapa final'!$AB$45="Alta",'Mapa final'!$AD$45="Mayor"),CONCATENATE("R15C",'Mapa final'!$R$45),"")</f>
        <v/>
      </c>
      <c r="V70" s="43" t="str">
        <f>IF(AND('Mapa final'!$AB$43="Alta",'Mapa final'!$AD$43="Catastrófico"),CONCATENATE("R15C",'Mapa final'!$R$43),"")</f>
        <v/>
      </c>
      <c r="W70" s="44" t="str">
        <f>IF(AND('Mapa final'!$AB$44="Alta",'Mapa final'!$AD$44="Catastrófico"),CONCATENATE("R15C",'Mapa final'!$R$44),"")</f>
        <v/>
      </c>
      <c r="X70" s="100" t="str">
        <f>IF(AND('Mapa final'!$AB$45="Alta",'Mapa final'!$AD$45="Catastrófico"),CONCATENATE("R15C",'Mapa final'!$R$45),"")</f>
        <v/>
      </c>
      <c r="Y70" s="56"/>
      <c r="Z70" s="292"/>
      <c r="AA70" s="293"/>
      <c r="AB70" s="293"/>
      <c r="AC70" s="293"/>
      <c r="AD70" s="293"/>
      <c r="AE70" s="294"/>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row>
    <row r="71" spans="1:61" ht="15" customHeight="1" x14ac:dyDescent="0.35">
      <c r="A71" s="56"/>
      <c r="B71" s="307"/>
      <c r="C71" s="307"/>
      <c r="D71" s="308"/>
      <c r="E71" s="284"/>
      <c r="F71" s="297"/>
      <c r="G71" s="297"/>
      <c r="H71" s="297"/>
      <c r="I71" s="279"/>
      <c r="J71" s="49" t="str">
        <f>IF(AND('Mapa final'!$AB$46="Alta",'Mapa final'!$AD$46="Leve"),CONCATENATE("R16C",'Mapa final'!$R$46),"")</f>
        <v/>
      </c>
      <c r="K71" s="50" t="str">
        <f>IF(AND('Mapa final'!$AB$47="Alta",'Mapa final'!$AD$47="Leve"),CONCATENATE("R16C",'Mapa final'!$R$47),"")</f>
        <v/>
      </c>
      <c r="L71" s="111" t="str">
        <f>IF(AND('Mapa final'!$AB$48="Alta",'Mapa final'!$AD$48="Leve"),CONCATENATE("R16C",'Mapa final'!$R$48),"")</f>
        <v/>
      </c>
      <c r="M71" s="49" t="str">
        <f>IF(AND('Mapa final'!$AB$46="Alta",'Mapa final'!$AD$46="Menor"),CONCATENATE("R16C",'Mapa final'!$R$46),"")</f>
        <v/>
      </c>
      <c r="N71" s="50" t="str">
        <f>IF(AND('Mapa final'!$AB$47="Alta",'Mapa final'!$AD$47="Menor"),CONCATENATE("R16C",'Mapa final'!$R$47),"")</f>
        <v/>
      </c>
      <c r="O71" s="111" t="str">
        <f>IF(AND('Mapa final'!$AB$48="Alta",'Mapa final'!$AD$48="Menor"),CONCATENATE("R16C",'Mapa final'!$R$48),"")</f>
        <v/>
      </c>
      <c r="P71" s="105" t="str">
        <f>IF(AND('Mapa final'!$AB$46="Alta",'Mapa final'!$AD$46="Moderado"),CONCATENATE("R16C",'Mapa final'!$R$46),"")</f>
        <v/>
      </c>
      <c r="Q71" s="42" t="str">
        <f>IF(AND('Mapa final'!$AB$47="Alta",'Mapa final'!$AD$47="Moderado"),CONCATENATE("R16C",'Mapa final'!$R$47),"")</f>
        <v/>
      </c>
      <c r="R71" s="106" t="str">
        <f>IF(AND('Mapa final'!$AB$48="Alta",'Mapa final'!$AD$48="Moderado"),CONCATENATE("R16C",'Mapa final'!$R$48),"")</f>
        <v/>
      </c>
      <c r="S71" s="105" t="str">
        <f>IF(AND('Mapa final'!$AB$46="Alta",'Mapa final'!$AD$46="Mayor"),CONCATENATE("R16C",'Mapa final'!$R$46),"")</f>
        <v/>
      </c>
      <c r="T71" s="42" t="str">
        <f>IF(AND('Mapa final'!$AB$47="Alta",'Mapa final'!$AD$47="Mayor"),CONCATENATE("R16C",'Mapa final'!$R$47),"")</f>
        <v/>
      </c>
      <c r="U71" s="106" t="str">
        <f>IF(AND('Mapa final'!$AB$48="Alta",'Mapa final'!$AD$48="Mayor"),CONCATENATE("R16C",'Mapa final'!$R$48),"")</f>
        <v/>
      </c>
      <c r="V71" s="43" t="str">
        <f>IF(AND('Mapa final'!$AB$46="Alta",'Mapa final'!$AD$46="Catastrófico"),CONCATENATE("R16C",'Mapa final'!$R$46),"")</f>
        <v/>
      </c>
      <c r="W71" s="44" t="str">
        <f>IF(AND('Mapa final'!$AB$47="Alta",'Mapa final'!$AD$47="Catastrófico"),CONCATENATE("R16C",'Mapa final'!$R$47),"")</f>
        <v/>
      </c>
      <c r="X71" s="100" t="str">
        <f>IF(AND('Mapa final'!$AB$48="Alta",'Mapa final'!$AD$48="Catastrófico"),CONCATENATE("R16C",'Mapa final'!$R$48),"")</f>
        <v/>
      </c>
      <c r="Y71" s="56"/>
      <c r="Z71" s="292"/>
      <c r="AA71" s="293"/>
      <c r="AB71" s="293"/>
      <c r="AC71" s="293"/>
      <c r="AD71" s="293"/>
      <c r="AE71" s="294"/>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row>
    <row r="72" spans="1:61" ht="15" customHeight="1" x14ac:dyDescent="0.35">
      <c r="A72" s="56"/>
      <c r="B72" s="307"/>
      <c r="C72" s="307"/>
      <c r="D72" s="308"/>
      <c r="E72" s="284"/>
      <c r="F72" s="297"/>
      <c r="G72" s="297"/>
      <c r="H72" s="297"/>
      <c r="I72" s="279"/>
      <c r="J72" s="49" t="str">
        <f>IF(AND('Mapa final'!$AB$49="Alta",'Mapa final'!$AD$49="Leve"),CONCATENATE("R17C",'Mapa final'!$R$49),"")</f>
        <v/>
      </c>
      <c r="K72" s="50" t="str">
        <f>IF(AND('Mapa final'!$AB$50="Alta",'Mapa final'!$AD$50="Leve"),CONCATENATE("R17C",'Mapa final'!$R$50),"")</f>
        <v/>
      </c>
      <c r="L72" s="111" t="str">
        <f>IF(AND('Mapa final'!$AB$51="Alta",'Mapa final'!$AD$51="Leve"),CONCATENATE("R17C",'Mapa final'!$R$51),"")</f>
        <v/>
      </c>
      <c r="M72" s="49" t="str">
        <f>IF(AND('Mapa final'!$AB$49="Alta",'Mapa final'!$AD$49="Menor"),CONCATENATE("R17C",'Mapa final'!$R$49),"")</f>
        <v/>
      </c>
      <c r="N72" s="50" t="str">
        <f>IF(AND('Mapa final'!$AB$50="Alta",'Mapa final'!$AD$50="Menor"),CONCATENATE("R17C",'Mapa final'!$R$50),"")</f>
        <v/>
      </c>
      <c r="O72" s="111" t="str">
        <f>IF(AND('Mapa final'!$AB$51="Alta",'Mapa final'!$AD$51="Menor"),CONCATENATE("R17C",'Mapa final'!$R$51),"")</f>
        <v/>
      </c>
      <c r="P72" s="105" t="str">
        <f>IF(AND('Mapa final'!$AB$49="Alta",'Mapa final'!$AD$49="Moderado"),CONCATENATE("R17C",'Mapa final'!$R$49),"")</f>
        <v/>
      </c>
      <c r="Q72" s="42" t="str">
        <f>IF(AND('Mapa final'!$AB$50="Alta",'Mapa final'!$AD$50="Moderado"),CONCATENATE("R17C",'Mapa final'!$R$50),"")</f>
        <v/>
      </c>
      <c r="R72" s="106" t="str">
        <f>IF(AND('Mapa final'!$AB$51="Alta",'Mapa final'!$AD$51="Moderado"),CONCATENATE("R17C",'Mapa final'!$R$51),"")</f>
        <v/>
      </c>
      <c r="S72" s="105" t="str">
        <f>IF(AND('Mapa final'!$AB$49="Alta",'Mapa final'!$AD$49="Mayor"),CONCATENATE("R17C",'Mapa final'!$R$49),"")</f>
        <v/>
      </c>
      <c r="T72" s="42" t="str">
        <f>IF(AND('Mapa final'!$AB$50="Alta",'Mapa final'!$AD$50="Mayor"),CONCATENATE("R17C",'Mapa final'!$R$50),"")</f>
        <v/>
      </c>
      <c r="U72" s="106" t="str">
        <f>IF(AND('Mapa final'!$AB$51="Alta",'Mapa final'!$AD$51="Mayor"),CONCATENATE("R17C",'Mapa final'!$R$51),"")</f>
        <v/>
      </c>
      <c r="V72" s="43" t="str">
        <f>IF(AND('Mapa final'!$AB$49="Alta",'Mapa final'!$AD$49="Catastrófico"),CONCATENATE("R17C",'Mapa final'!$R$49),"")</f>
        <v/>
      </c>
      <c r="W72" s="44" t="str">
        <f>IF(AND('Mapa final'!$AB$50="Alta",'Mapa final'!$AD$50="Catastrófico"),CONCATENATE("R17C",'Mapa final'!$R$50),"")</f>
        <v/>
      </c>
      <c r="X72" s="100" t="str">
        <f>IF(AND('Mapa final'!$AB$51="Alta",'Mapa final'!$AD$51="Catastrófico"),CONCATENATE("R17C",'Mapa final'!$R$51),"")</f>
        <v/>
      </c>
      <c r="Y72" s="56"/>
      <c r="Z72" s="292"/>
      <c r="AA72" s="293"/>
      <c r="AB72" s="293"/>
      <c r="AC72" s="293"/>
      <c r="AD72" s="293"/>
      <c r="AE72" s="294"/>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row>
    <row r="73" spans="1:61" ht="15" customHeight="1" x14ac:dyDescent="0.35">
      <c r="A73" s="56"/>
      <c r="B73" s="307"/>
      <c r="C73" s="307"/>
      <c r="D73" s="308"/>
      <c r="E73" s="284"/>
      <c r="F73" s="297"/>
      <c r="G73" s="297"/>
      <c r="H73" s="297"/>
      <c r="I73" s="279"/>
      <c r="J73" s="49" t="str">
        <f>IF(AND('Mapa final'!$AB$52="Alta",'Mapa final'!$AD$52="Leve"),CONCATENATE("R18C",'Mapa final'!$R$52),"")</f>
        <v/>
      </c>
      <c r="K73" s="50" t="str">
        <f>IF(AND('Mapa final'!$AB$53="Alta",'Mapa final'!$AD$53="Leve"),CONCATENATE("R18C",'Mapa final'!$R$53),"")</f>
        <v/>
      </c>
      <c r="L73" s="111" t="str">
        <f>IF(AND('Mapa final'!$AB$54="Alta",'Mapa final'!$AD$54="Leve"),CONCATENATE("R18C",'Mapa final'!$R$54),"")</f>
        <v/>
      </c>
      <c r="M73" s="49" t="str">
        <f>IF(AND('Mapa final'!$AB$52="Alta",'Mapa final'!$AD$52="Menor"),CONCATENATE("R18C",'Mapa final'!$R$52),"")</f>
        <v/>
      </c>
      <c r="N73" s="50" t="str">
        <f>IF(AND('Mapa final'!$AB$53="Alta",'Mapa final'!$AD$53="Menor"),CONCATENATE("R18C",'Mapa final'!$R$53),"")</f>
        <v/>
      </c>
      <c r="O73" s="111" t="str">
        <f>IF(AND('Mapa final'!$AB$54="Alta",'Mapa final'!$AD$54="Menor"),CONCATENATE("R18C",'Mapa final'!$R$54),"")</f>
        <v/>
      </c>
      <c r="P73" s="105" t="str">
        <f>IF(AND('Mapa final'!$AB$52="Alta",'Mapa final'!$AD$52="Moderado"),CONCATENATE("R18C",'Mapa final'!$R$52),"")</f>
        <v/>
      </c>
      <c r="Q73" s="42" t="str">
        <f>IF(AND('Mapa final'!$AB$53="Alta",'Mapa final'!$AD$53="Moderado"),CONCATENATE("R18C",'Mapa final'!$R$53),"")</f>
        <v/>
      </c>
      <c r="R73" s="106" t="str">
        <f>IF(AND('Mapa final'!$AB$54="Alta",'Mapa final'!$AD$54="Moderado"),CONCATENATE("R18C",'Mapa final'!$R$54),"")</f>
        <v/>
      </c>
      <c r="S73" s="105" t="str">
        <f>IF(AND('Mapa final'!$AB$52="Alta",'Mapa final'!$AD$52="Mayor"),CONCATENATE("R18C",'Mapa final'!$R$52),"")</f>
        <v/>
      </c>
      <c r="T73" s="42" t="str">
        <f>IF(AND('Mapa final'!$AB$53="Alta",'Mapa final'!$AD$53="Mayor"),CONCATENATE("R18C",'Mapa final'!$R$53),"")</f>
        <v/>
      </c>
      <c r="U73" s="106" t="str">
        <f>IF(AND('Mapa final'!$AB$54="Alta",'Mapa final'!$AD$54="Mayor"),CONCATENATE("R18C",'Mapa final'!$R$54),"")</f>
        <v/>
      </c>
      <c r="V73" s="43" t="str">
        <f>IF(AND('Mapa final'!$AB$52="Alta",'Mapa final'!$AD$52="Catastrófico"),CONCATENATE("R18C",'Mapa final'!$R$52),"")</f>
        <v/>
      </c>
      <c r="W73" s="44" t="str">
        <f>IF(AND('Mapa final'!$AB$53="Alta",'Mapa final'!$AD$53="Catastrófico"),CONCATENATE("R18C",'Mapa final'!$R$53),"")</f>
        <v/>
      </c>
      <c r="X73" s="100" t="str">
        <f>IF(AND('Mapa final'!$AB$54="Alta",'Mapa final'!$AD$54="Catastrófico"),CONCATENATE("R18C",'Mapa final'!$R$54),"")</f>
        <v/>
      </c>
      <c r="Y73" s="56"/>
      <c r="Z73" s="292"/>
      <c r="AA73" s="293"/>
      <c r="AB73" s="293"/>
      <c r="AC73" s="293"/>
      <c r="AD73" s="293"/>
      <c r="AE73" s="294"/>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row>
    <row r="74" spans="1:61" ht="15" customHeight="1" x14ac:dyDescent="0.35">
      <c r="A74" s="56"/>
      <c r="B74" s="307"/>
      <c r="C74" s="307"/>
      <c r="D74" s="308"/>
      <c r="E74" s="284"/>
      <c r="F74" s="297"/>
      <c r="G74" s="297"/>
      <c r="H74" s="297"/>
      <c r="I74" s="279"/>
      <c r="J74" s="49" t="str">
        <f>IF(AND('Mapa final'!$AB$55="Alta",'Mapa final'!$AD$55="Leve"),CONCATENATE("R19C",'Mapa final'!$R$55),"")</f>
        <v/>
      </c>
      <c r="K74" s="50" t="str">
        <f>IF(AND('Mapa final'!$AB$56="Alta",'Mapa final'!$AD$56="Leve"),CONCATENATE("R19C",'Mapa final'!$R$56),"")</f>
        <v/>
      </c>
      <c r="L74" s="111" t="str">
        <f>IF(AND('Mapa final'!$AB$57="Alta",'Mapa final'!$AD$57="Leve"),CONCATENATE("R19C",'Mapa final'!$R$57),"")</f>
        <v/>
      </c>
      <c r="M74" s="49" t="str">
        <f>IF(AND('Mapa final'!$AB$55="Alta",'Mapa final'!$AD$55="Menor"),CONCATENATE("R19C",'Mapa final'!$R$55),"")</f>
        <v/>
      </c>
      <c r="N74" s="50" t="str">
        <f>IF(AND('Mapa final'!$AB$56="Alta",'Mapa final'!$AD$56="Menor"),CONCATENATE("R19C",'Mapa final'!$R$56),"")</f>
        <v/>
      </c>
      <c r="O74" s="111" t="str">
        <f>IF(AND('Mapa final'!$AB$57="Alta",'Mapa final'!$AD$57="Menor"),CONCATENATE("R19C",'Mapa final'!$R$57),"")</f>
        <v/>
      </c>
      <c r="P74" s="105" t="str">
        <f>IF(AND('Mapa final'!$AB$55="Alta",'Mapa final'!$AD$55="Moderado"),CONCATENATE("R19C",'Mapa final'!$R$55),"")</f>
        <v/>
      </c>
      <c r="Q74" s="42" t="str">
        <f>IF(AND('Mapa final'!$AB$56="Alta",'Mapa final'!$AD$56="Moderado"),CONCATENATE("R19C",'Mapa final'!$R$56),"")</f>
        <v/>
      </c>
      <c r="R74" s="106" t="str">
        <f>IF(AND('Mapa final'!$AB$57="Alta",'Mapa final'!$AD$57="Moderado"),CONCATENATE("R19C",'Mapa final'!$R$57),"")</f>
        <v/>
      </c>
      <c r="S74" s="105" t="str">
        <f>IF(AND('Mapa final'!$AB$55="Alta",'Mapa final'!$AD$55="Mayor"),CONCATENATE("R19C",'Mapa final'!$R$55),"")</f>
        <v/>
      </c>
      <c r="T74" s="42" t="str">
        <f>IF(AND('Mapa final'!$AB$56="Alta",'Mapa final'!$AD$56="Mayor"),CONCATENATE("R19C",'Mapa final'!$R$56),"")</f>
        <v/>
      </c>
      <c r="U74" s="106" t="str">
        <f>IF(AND('Mapa final'!$AB$57="Alta",'Mapa final'!$AD$57="Mayor"),CONCATENATE("R19C",'Mapa final'!$R$57),"")</f>
        <v/>
      </c>
      <c r="V74" s="43" t="str">
        <f>IF(AND('Mapa final'!$AB$55="Alta",'Mapa final'!$AD$55="Catastrófico"),CONCATENATE("R19C",'Mapa final'!$R$55),"")</f>
        <v/>
      </c>
      <c r="W74" s="44" t="str">
        <f>IF(AND('Mapa final'!$AB$56="Alta",'Mapa final'!$AD$56="Catastrófico"),CONCATENATE("R19C",'Mapa final'!$R$56),"")</f>
        <v/>
      </c>
      <c r="X74" s="100" t="str">
        <f>IF(AND('Mapa final'!$AB$57="Alta",'Mapa final'!$AD$57="Catastrófico"),CONCATENATE("R19C",'Mapa final'!$R$57),"")</f>
        <v/>
      </c>
      <c r="Y74" s="56"/>
      <c r="Z74" s="292"/>
      <c r="AA74" s="293"/>
      <c r="AB74" s="293"/>
      <c r="AC74" s="293"/>
      <c r="AD74" s="293"/>
      <c r="AE74" s="294"/>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row>
    <row r="75" spans="1:61" ht="15" customHeight="1" x14ac:dyDescent="0.35">
      <c r="A75" s="56"/>
      <c r="B75" s="307"/>
      <c r="C75" s="307"/>
      <c r="D75" s="308"/>
      <c r="E75" s="284"/>
      <c r="F75" s="297"/>
      <c r="G75" s="297"/>
      <c r="H75" s="297"/>
      <c r="I75" s="279"/>
      <c r="J75" s="49" t="str">
        <f>IF(AND('Mapa final'!$AB$58="Alta",'Mapa final'!$AD$58="Leve"),CONCATENATE("R20C",'Mapa final'!$R$58),"")</f>
        <v/>
      </c>
      <c r="K75" s="50" t="str">
        <f>IF(AND('Mapa final'!$AB$59="Alta",'Mapa final'!$AD$59="Leve"),CONCATENATE("R20C",'Mapa final'!$R$59),"")</f>
        <v/>
      </c>
      <c r="L75" s="111" t="str">
        <f>IF(AND('Mapa final'!$AB$60="Alta",'Mapa final'!$AD$60="Leve"),CONCATENATE("R20C",'Mapa final'!$R$60),"")</f>
        <v/>
      </c>
      <c r="M75" s="49" t="str">
        <f>IF(AND('Mapa final'!$AB$58="Alta",'Mapa final'!$AD$58="Menor"),CONCATENATE("R20C",'Mapa final'!$R$58),"")</f>
        <v/>
      </c>
      <c r="N75" s="50" t="str">
        <f>IF(AND('Mapa final'!$AB$59="Alta",'Mapa final'!$AD$59="Menor"),CONCATENATE("R20C",'Mapa final'!$R$59),"")</f>
        <v/>
      </c>
      <c r="O75" s="111" t="str">
        <f>IF(AND('Mapa final'!$AB$60="Alta",'Mapa final'!$AD$60="Menor"),CONCATENATE("R20C",'Mapa final'!$R$60),"")</f>
        <v/>
      </c>
      <c r="P75" s="105" t="str">
        <f>IF(AND('Mapa final'!$AB$58="Alta",'Mapa final'!$AD$58="Moderado"),CONCATENATE("R20C",'Mapa final'!$R$58),"")</f>
        <v/>
      </c>
      <c r="Q75" s="42" t="str">
        <f>IF(AND('Mapa final'!$AB$59="Alta",'Mapa final'!$AD$59="Moderado"),CONCATENATE("R20C",'Mapa final'!$R$59),"")</f>
        <v/>
      </c>
      <c r="R75" s="106" t="str">
        <f>IF(AND('Mapa final'!$AB$60="Alta",'Mapa final'!$AD$60="Moderado"),CONCATENATE("R20C",'Mapa final'!$R$60),"")</f>
        <v/>
      </c>
      <c r="S75" s="105" t="str">
        <f>IF(AND('Mapa final'!$AB$58="Alta",'Mapa final'!$AD$58="Mayor"),CONCATENATE("R20C",'Mapa final'!$R$58),"")</f>
        <v/>
      </c>
      <c r="T75" s="42" t="str">
        <f>IF(AND('Mapa final'!$AB$59="Alta",'Mapa final'!$AD$59="Mayor"),CONCATENATE("R20C",'Mapa final'!$R$59),"")</f>
        <v/>
      </c>
      <c r="U75" s="106" t="str">
        <f>IF(AND('Mapa final'!$AB$60="Alta",'Mapa final'!$AD$60="Mayor"),CONCATENATE("R20C",'Mapa final'!$R$60),"")</f>
        <v/>
      </c>
      <c r="V75" s="43" t="str">
        <f>IF(AND('Mapa final'!$AB$58="Alta",'Mapa final'!$AD$58="Catastrófico"),CONCATENATE("R20C",'Mapa final'!$R$58),"")</f>
        <v/>
      </c>
      <c r="W75" s="44" t="str">
        <f>IF(AND('Mapa final'!$AB$59="Alta",'Mapa final'!$AD$59="Catastrófico"),CONCATENATE("R20C",'Mapa final'!$R$59),"")</f>
        <v/>
      </c>
      <c r="X75" s="100" t="str">
        <f>IF(AND('Mapa final'!$AB$60="Alta",'Mapa final'!$AD$60="Catastrófico"),CONCATENATE("R20C",'Mapa final'!$R$60),"")</f>
        <v/>
      </c>
      <c r="Y75" s="56"/>
      <c r="Z75" s="292"/>
      <c r="AA75" s="293"/>
      <c r="AB75" s="293"/>
      <c r="AC75" s="293"/>
      <c r="AD75" s="293"/>
      <c r="AE75" s="294"/>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row>
    <row r="76" spans="1:61" ht="15" customHeight="1" x14ac:dyDescent="0.35">
      <c r="A76" s="56"/>
      <c r="B76" s="307"/>
      <c r="C76" s="307"/>
      <c r="D76" s="308"/>
      <c r="E76" s="284"/>
      <c r="F76" s="297"/>
      <c r="G76" s="297"/>
      <c r="H76" s="297"/>
      <c r="I76" s="279"/>
      <c r="J76" s="49" t="str">
        <f>IF(AND('Mapa final'!$AB$61="Alta",'Mapa final'!$AD$61="Leve"),CONCATENATE("R21C",'Mapa final'!$R$61),"")</f>
        <v/>
      </c>
      <c r="K76" s="50" t="str">
        <f>IF(AND('Mapa final'!$AB$62="Alta",'Mapa final'!$AD$62="Leve"),CONCATENATE("R21C",'Mapa final'!$R$62),"")</f>
        <v/>
      </c>
      <c r="L76" s="111" t="str">
        <f>IF(AND('Mapa final'!$AB$63="Alta",'Mapa final'!$AD$63="Leve"),CONCATENATE("R21C",'Mapa final'!$R$63),"")</f>
        <v/>
      </c>
      <c r="M76" s="49" t="str">
        <f>IF(AND('Mapa final'!$AB$61="Alta",'Mapa final'!$AD$61="Menor"),CONCATENATE("R21C",'Mapa final'!$R$61),"")</f>
        <v/>
      </c>
      <c r="N76" s="50" t="str">
        <f>IF(AND('Mapa final'!$AB$62="Alta",'Mapa final'!$AD$62="Menor"),CONCATENATE("R21C",'Mapa final'!$R$62),"")</f>
        <v/>
      </c>
      <c r="O76" s="111" t="str">
        <f>IF(AND('Mapa final'!$AB$63="Alta",'Mapa final'!$AD$63="Menor"),CONCATENATE("R21C",'Mapa final'!$R$63),"")</f>
        <v/>
      </c>
      <c r="P76" s="105" t="str">
        <f>IF(AND('Mapa final'!$AB$61="Alta",'Mapa final'!$AD$61="Moderado"),CONCATENATE("R21C",'Mapa final'!$R$61),"")</f>
        <v/>
      </c>
      <c r="Q76" s="42" t="str">
        <f>IF(AND('Mapa final'!$AB$62="Alta",'Mapa final'!$AD$62="Moderado"),CONCATENATE("R21C",'Mapa final'!$R$62),"")</f>
        <v/>
      </c>
      <c r="R76" s="106" t="str">
        <f>IF(AND('Mapa final'!$AB$63="Alta",'Mapa final'!$AD$63="Moderado"),CONCATENATE("R21C",'Mapa final'!$R$63),"")</f>
        <v/>
      </c>
      <c r="S76" s="105" t="str">
        <f>IF(AND('Mapa final'!$AB$61="Alta",'Mapa final'!$AD$61="Mayor"),CONCATENATE("R21C",'Mapa final'!$R$61),"")</f>
        <v/>
      </c>
      <c r="T76" s="42" t="str">
        <f>IF(AND('Mapa final'!$AB$62="Alta",'Mapa final'!$AD$62="Mayor"),CONCATENATE("R21C",'Mapa final'!$R$62),"")</f>
        <v/>
      </c>
      <c r="U76" s="106" t="str">
        <f>IF(AND('Mapa final'!$AB$63="Alta",'Mapa final'!$AD$63="Mayor"),CONCATENATE("R21C",'Mapa final'!$R$63),"")</f>
        <v/>
      </c>
      <c r="V76" s="43" t="str">
        <f>IF(AND('Mapa final'!$AB$61="Alta",'Mapa final'!$AD$61="Catastrófico"),CONCATENATE("R21C",'Mapa final'!$R$61),"")</f>
        <v/>
      </c>
      <c r="W76" s="44" t="str">
        <f>IF(AND('Mapa final'!$AB$62="Alta",'Mapa final'!$AD$62="Catastrófico"),CONCATENATE("R21C",'Mapa final'!$R$62),"")</f>
        <v/>
      </c>
      <c r="X76" s="100" t="str">
        <f>IF(AND('Mapa final'!$AB$63="Alta",'Mapa final'!$AD$63="Catastrófico"),CONCATENATE("R21C",'Mapa final'!$R$63),"")</f>
        <v/>
      </c>
      <c r="Y76" s="56"/>
      <c r="Z76" s="292"/>
      <c r="AA76" s="293"/>
      <c r="AB76" s="293"/>
      <c r="AC76" s="293"/>
      <c r="AD76" s="293"/>
      <c r="AE76" s="294"/>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row>
    <row r="77" spans="1:61" ht="15" customHeight="1" x14ac:dyDescent="0.35">
      <c r="A77" s="56"/>
      <c r="B77" s="307"/>
      <c r="C77" s="307"/>
      <c r="D77" s="308"/>
      <c r="E77" s="284"/>
      <c r="F77" s="297"/>
      <c r="G77" s="297"/>
      <c r="H77" s="297"/>
      <c r="I77" s="279"/>
      <c r="J77" s="49" t="str">
        <f>IF(AND('Mapa final'!$AB$64="Alta",'Mapa final'!$AD$64="Leve"),CONCATENATE("R22C",'Mapa final'!$R$64),"")</f>
        <v/>
      </c>
      <c r="K77" s="50" t="str">
        <f>IF(AND('Mapa final'!$AB$65="Alta",'Mapa final'!$AD$65="Leve"),CONCATENATE("R22C",'Mapa final'!$R$65),"")</f>
        <v/>
      </c>
      <c r="L77" s="111" t="str">
        <f>IF(AND('Mapa final'!$AB$66="Alta",'Mapa final'!$AD$66="Leve"),CONCATENATE("R22C",'Mapa final'!$R$66),"")</f>
        <v/>
      </c>
      <c r="M77" s="49" t="str">
        <f>IF(AND('Mapa final'!$AB$64="Alta",'Mapa final'!$AD$64="Menor"),CONCATENATE("R22C",'Mapa final'!$R$64),"")</f>
        <v/>
      </c>
      <c r="N77" s="50" t="str">
        <f>IF(AND('Mapa final'!$AB$65="Alta",'Mapa final'!$AD$65="Menor"),CONCATENATE("R22C",'Mapa final'!$R$65),"")</f>
        <v/>
      </c>
      <c r="O77" s="111" t="str">
        <f>IF(AND('Mapa final'!$AB$66="Alta",'Mapa final'!$AD$66="Menor"),CONCATENATE("R22C",'Mapa final'!$R$66),"")</f>
        <v/>
      </c>
      <c r="P77" s="105" t="str">
        <f>IF(AND('Mapa final'!$AB$64="Alta",'Mapa final'!$AD$64="Moderado"),CONCATENATE("R22C",'Mapa final'!$R$64),"")</f>
        <v/>
      </c>
      <c r="Q77" s="42" t="str">
        <f>IF(AND('Mapa final'!$AB$65="Alta",'Mapa final'!$AD$65="Moderado"),CONCATENATE("R22C",'Mapa final'!$R$65),"")</f>
        <v/>
      </c>
      <c r="R77" s="106" t="str">
        <f>IF(AND('Mapa final'!$AB$66="Alta",'Mapa final'!$AD$66="Moderado"),CONCATENATE("R22C",'Mapa final'!$R$66),"")</f>
        <v/>
      </c>
      <c r="S77" s="105" t="str">
        <f>IF(AND('Mapa final'!$AB$64="Alta",'Mapa final'!$AD$64="Mayor"),CONCATENATE("R22C",'Mapa final'!$R$64),"")</f>
        <v/>
      </c>
      <c r="T77" s="42" t="str">
        <f>IF(AND('Mapa final'!$AB$65="Alta",'Mapa final'!$AD$65="Mayor"),CONCATENATE("R22C",'Mapa final'!$R$65),"")</f>
        <v/>
      </c>
      <c r="U77" s="106" t="str">
        <f>IF(AND('Mapa final'!$AB$66="Alta",'Mapa final'!$AD$66="Mayor"),CONCATENATE("R22C",'Mapa final'!$R$66),"")</f>
        <v/>
      </c>
      <c r="V77" s="43" t="str">
        <f>IF(AND('Mapa final'!$AB$64="Alta",'Mapa final'!$AD$64="Catastrófico"),CONCATENATE("R22C",'Mapa final'!$R$64),"")</f>
        <v/>
      </c>
      <c r="W77" s="44" t="str">
        <f>IF(AND('Mapa final'!$AB$65="Alta",'Mapa final'!$AD$65="Catastrófico"),CONCATENATE("R22C",'Mapa final'!$R$65),"")</f>
        <v/>
      </c>
      <c r="X77" s="100" t="str">
        <f>IF(AND('Mapa final'!$AB$66="Alta",'Mapa final'!$AD$66="Catastrófico"),CONCATENATE("R22C",'Mapa final'!$R$66),"")</f>
        <v/>
      </c>
      <c r="Y77" s="56"/>
      <c r="Z77" s="292"/>
      <c r="AA77" s="293"/>
      <c r="AB77" s="293"/>
      <c r="AC77" s="293"/>
      <c r="AD77" s="293"/>
      <c r="AE77" s="294"/>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row>
    <row r="78" spans="1:61" ht="15" customHeight="1" x14ac:dyDescent="0.35">
      <c r="A78" s="56"/>
      <c r="B78" s="307"/>
      <c r="C78" s="307"/>
      <c r="D78" s="308"/>
      <c r="E78" s="284"/>
      <c r="F78" s="297"/>
      <c r="G78" s="297"/>
      <c r="H78" s="297"/>
      <c r="I78" s="279"/>
      <c r="J78" s="49" t="str">
        <f>IF(AND('Mapa final'!$AB$70="Alta",'Mapa final'!$AD$70="Leve"),CONCATENATE("R23C",'Mapa final'!$R$70),"")</f>
        <v/>
      </c>
      <c r="K78" s="50" t="str">
        <f>IF(AND('Mapa final'!$AB$71="Alta",'Mapa final'!$AD$71="Leve"),CONCATENATE("R23C",'Mapa final'!$R$71),"")</f>
        <v/>
      </c>
      <c r="L78" s="111" t="str">
        <f>IF(AND('Mapa final'!$AB$72="Alta",'Mapa final'!$AD$72="Leve"),CONCATENATE("R23C",'Mapa final'!$R$72),"")</f>
        <v/>
      </c>
      <c r="M78" s="49" t="str">
        <f>IF(AND('Mapa final'!$AB$70="Alta",'Mapa final'!$AD$70="Menor"),CONCATENATE("R23C",'Mapa final'!$R$70),"")</f>
        <v/>
      </c>
      <c r="N78" s="50" t="str">
        <f>IF(AND('Mapa final'!$AB$71="Alta",'Mapa final'!$AD$71="Menor"),CONCATENATE("R23C",'Mapa final'!$R$71),"")</f>
        <v/>
      </c>
      <c r="O78" s="111" t="str">
        <f>IF(AND('Mapa final'!$AB$72="Alta",'Mapa final'!$AD$72="Menor"),CONCATENATE("R23C",'Mapa final'!$R$72),"")</f>
        <v/>
      </c>
      <c r="P78" s="105" t="str">
        <f>IF(AND('Mapa final'!$AB$70="Alta",'Mapa final'!$AD$70="Moderado"),CONCATENATE("R23C",'Mapa final'!$R$70),"")</f>
        <v/>
      </c>
      <c r="Q78" s="42" t="str">
        <f>IF(AND('Mapa final'!$AB$71="Alta",'Mapa final'!$AD$71="Moderado"),CONCATENATE("R23C",'Mapa final'!$R$71),"")</f>
        <v/>
      </c>
      <c r="R78" s="106" t="str">
        <f>IF(AND('Mapa final'!$AB$72="Alta",'Mapa final'!$AD$72="Moderado"),CONCATENATE("R23C",'Mapa final'!$R$72),"")</f>
        <v/>
      </c>
      <c r="S78" s="105" t="str">
        <f>IF(AND('Mapa final'!$AB$70="Alta",'Mapa final'!$AD$70="Mayor"),CONCATENATE("R23C",'Mapa final'!$R$70),"")</f>
        <v/>
      </c>
      <c r="T78" s="42" t="str">
        <f>IF(AND('Mapa final'!$AB$71="Alta",'Mapa final'!$AD$71="Mayor"),CONCATENATE("R23C",'Mapa final'!$R$71),"")</f>
        <v/>
      </c>
      <c r="U78" s="106" t="str">
        <f>IF(AND('Mapa final'!$AB$72="Alta",'Mapa final'!$AD$72="Mayor"),CONCATENATE("R23C",'Mapa final'!$R$72),"")</f>
        <v/>
      </c>
      <c r="V78" s="43" t="str">
        <f>IF(AND('Mapa final'!$AB$70="Alta",'Mapa final'!$AD$70="Catastrófico"),CONCATENATE("R23C",'Mapa final'!$R$70),"")</f>
        <v/>
      </c>
      <c r="W78" s="44" t="str">
        <f>IF(AND('Mapa final'!$AB$71="Alta",'Mapa final'!$AD$71="Catastrófico"),CONCATENATE("R23C",'Mapa final'!$R$71),"")</f>
        <v/>
      </c>
      <c r="X78" s="100" t="str">
        <f>IF(AND('Mapa final'!$AB$72="Alta",'Mapa final'!$AD$72="Catastrófico"),CONCATENATE("R23C",'Mapa final'!$R$72),"")</f>
        <v/>
      </c>
      <c r="Y78" s="56"/>
      <c r="Z78" s="292"/>
      <c r="AA78" s="293"/>
      <c r="AB78" s="293"/>
      <c r="AC78" s="293"/>
      <c r="AD78" s="293"/>
      <c r="AE78" s="294"/>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row>
    <row r="79" spans="1:61" ht="15" customHeight="1" x14ac:dyDescent="0.35">
      <c r="A79" s="56"/>
      <c r="B79" s="307"/>
      <c r="C79" s="307"/>
      <c r="D79" s="308"/>
      <c r="E79" s="284"/>
      <c r="F79" s="297"/>
      <c r="G79" s="297"/>
      <c r="H79" s="297"/>
      <c r="I79" s="279"/>
      <c r="J79" s="49" t="str">
        <f>IF(AND('Mapa final'!$AB$73="Alta",'Mapa final'!$AD$73="Leve"),CONCATENATE("R24C",'Mapa final'!$R$73),"")</f>
        <v/>
      </c>
      <c r="K79" s="50" t="str">
        <f>IF(AND('Mapa final'!$AB$74="Alta",'Mapa final'!$AD$74="Leve"),CONCATENATE("R24C",'Mapa final'!$R$74),"")</f>
        <v/>
      </c>
      <c r="L79" s="111" t="str">
        <f>IF(AND('Mapa final'!$AB$75="Alta",'Mapa final'!$AD$75="Leve"),CONCATENATE("R24C",'Mapa final'!$R$75),"")</f>
        <v/>
      </c>
      <c r="M79" s="49" t="str">
        <f>IF(AND('Mapa final'!$AB$73="Alta",'Mapa final'!$AD$73="Menor"),CONCATENATE("R24C",'Mapa final'!$R$73),"")</f>
        <v/>
      </c>
      <c r="N79" s="50" t="str">
        <f>IF(AND('Mapa final'!$AB$74="Alta",'Mapa final'!$AD$74="Menor"),CONCATENATE("R24C",'Mapa final'!$R$74),"")</f>
        <v/>
      </c>
      <c r="O79" s="111" t="str">
        <f>IF(AND('Mapa final'!$AB$75="Alta",'Mapa final'!$AD$75="Menor"),CONCATENATE("R24C",'Mapa final'!$R$75),"")</f>
        <v/>
      </c>
      <c r="P79" s="105" t="str">
        <f>IF(AND('Mapa final'!$AB$73="Alta",'Mapa final'!$AD$73="Moderado"),CONCATENATE("R24C",'Mapa final'!$R$73),"")</f>
        <v/>
      </c>
      <c r="Q79" s="42" t="str">
        <f>IF(AND('Mapa final'!$AB$74="Alta",'Mapa final'!$AD$74="Moderado"),CONCATENATE("R24C",'Mapa final'!$R$74),"")</f>
        <v/>
      </c>
      <c r="R79" s="106" t="str">
        <f>IF(AND('Mapa final'!$AB$75="Alta",'Mapa final'!$AD$75="Moderado"),CONCATENATE("R24C",'Mapa final'!$R$75),"")</f>
        <v/>
      </c>
      <c r="S79" s="105" t="str">
        <f>IF(AND('Mapa final'!$AB$73="Alta",'Mapa final'!$AD$73="Mayor"),CONCATENATE("R24C",'Mapa final'!$R$73),"")</f>
        <v/>
      </c>
      <c r="T79" s="42" t="str">
        <f>IF(AND('Mapa final'!$AB$74="Alta",'Mapa final'!$AD$74="Mayor"),CONCATENATE("R24C",'Mapa final'!$R$74),"")</f>
        <v/>
      </c>
      <c r="U79" s="106" t="str">
        <f>IF(AND('Mapa final'!$AB$75="Alta",'Mapa final'!$AD$75="Mayor"),CONCATENATE("R24C",'Mapa final'!$R$75),"")</f>
        <v/>
      </c>
      <c r="V79" s="43" t="str">
        <f>IF(AND('Mapa final'!$AB$73="Alta",'Mapa final'!$AD$73="Catastrófico"),CONCATENATE("R24C",'Mapa final'!$R$73),"")</f>
        <v/>
      </c>
      <c r="W79" s="44" t="str">
        <f>IF(AND('Mapa final'!$AB$74="Alta",'Mapa final'!$AD$74="Catastrófico"),CONCATENATE("R24C",'Mapa final'!$R$74),"")</f>
        <v/>
      </c>
      <c r="X79" s="100" t="str">
        <f>IF(AND('Mapa final'!$AB$75="Alta",'Mapa final'!$AD$75="Catastrófico"),CONCATENATE("R24C",'Mapa final'!$R$75),"")</f>
        <v/>
      </c>
      <c r="Y79" s="56"/>
      <c r="Z79" s="292"/>
      <c r="AA79" s="293"/>
      <c r="AB79" s="293"/>
      <c r="AC79" s="293"/>
      <c r="AD79" s="293"/>
      <c r="AE79" s="294"/>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row>
    <row r="80" spans="1:61" ht="15" customHeight="1" x14ac:dyDescent="0.35">
      <c r="A80" s="56"/>
      <c r="B80" s="307"/>
      <c r="C80" s="307"/>
      <c r="D80" s="308"/>
      <c r="E80" s="284"/>
      <c r="F80" s="297"/>
      <c r="G80" s="297"/>
      <c r="H80" s="297"/>
      <c r="I80" s="279"/>
      <c r="J80" s="49" t="str">
        <f>IF(AND('Mapa final'!$AB$76="Alta",'Mapa final'!$AD$76="Leve"),CONCATENATE("R25C",'Mapa final'!$R$76),"")</f>
        <v/>
      </c>
      <c r="K80" s="50" t="str">
        <f>IF(AND('Mapa final'!$AB$77="Alta",'Mapa final'!$AD$77="Leve"),CONCATENATE("R25C",'Mapa final'!$R$77),"")</f>
        <v/>
      </c>
      <c r="L80" s="111" t="str">
        <f>IF(AND('Mapa final'!$AB$78="Alta",'Mapa final'!$AD$78="Leve"),CONCATENATE("R25C",'Mapa final'!$R$78),"")</f>
        <v/>
      </c>
      <c r="M80" s="49" t="str">
        <f>IF(AND('Mapa final'!$AB$76="Alta",'Mapa final'!$AD$76="Menor"),CONCATENATE("R25C",'Mapa final'!$R$76),"")</f>
        <v/>
      </c>
      <c r="N80" s="50" t="str">
        <f>IF(AND('Mapa final'!$AB$77="Alta",'Mapa final'!$AD$77="Menor"),CONCATENATE("R25C",'Mapa final'!$R$77),"")</f>
        <v/>
      </c>
      <c r="O80" s="111" t="str">
        <f>IF(AND('Mapa final'!$AB$78="Alta",'Mapa final'!$AD$78="Menor"),CONCATENATE("R25C",'Mapa final'!$R$78),"")</f>
        <v/>
      </c>
      <c r="P80" s="105" t="str">
        <f>IF(AND('Mapa final'!$AB$76="Alta",'Mapa final'!$AD$76="Moderado"),CONCATENATE("R25C",'Mapa final'!$R$76),"")</f>
        <v/>
      </c>
      <c r="Q80" s="42" t="str">
        <f>IF(AND('Mapa final'!$AB$77="Alta",'Mapa final'!$AD$77="Moderado"),CONCATENATE("R25C",'Mapa final'!$R$77),"")</f>
        <v/>
      </c>
      <c r="R80" s="106" t="str">
        <f>IF(AND('Mapa final'!$AB$78="Alta",'Mapa final'!$AD$78="Moderado"),CONCATENATE("R25C",'Mapa final'!$R$78),"")</f>
        <v/>
      </c>
      <c r="S80" s="105" t="str">
        <f>IF(AND('Mapa final'!$AB$76="Alta",'Mapa final'!$AD$76="Mayor"),CONCATENATE("R25C",'Mapa final'!$R$76),"")</f>
        <v/>
      </c>
      <c r="T80" s="42" t="str">
        <f>IF(AND('Mapa final'!$AB$77="Alta",'Mapa final'!$AD$77="Mayor"),CONCATENATE("R25C",'Mapa final'!$R$77),"")</f>
        <v/>
      </c>
      <c r="U80" s="106" t="str">
        <f>IF(AND('Mapa final'!$AB$78="Alta",'Mapa final'!$AD$78="Mayor"),CONCATENATE("R25C",'Mapa final'!$R$78),"")</f>
        <v/>
      </c>
      <c r="V80" s="43" t="str">
        <f>IF(AND('Mapa final'!$AB$76="Alta",'Mapa final'!$AD$76="Catastrófico"),CONCATENATE("R25C",'Mapa final'!$R$76),"")</f>
        <v/>
      </c>
      <c r="W80" s="44" t="str">
        <f>IF(AND('Mapa final'!$AB$77="Alta",'Mapa final'!$AD$77="Catastrófico"),CONCATENATE("R25C",'Mapa final'!$R$77),"")</f>
        <v/>
      </c>
      <c r="X80" s="100" t="str">
        <f>IF(AND('Mapa final'!$AB$78="Alta",'Mapa final'!$AD$78="Catastrófico"),CONCATENATE("R25C",'Mapa final'!$R$78),"")</f>
        <v/>
      </c>
      <c r="Y80" s="56"/>
      <c r="Z80" s="292"/>
      <c r="AA80" s="293"/>
      <c r="AB80" s="293"/>
      <c r="AC80" s="293"/>
      <c r="AD80" s="293"/>
      <c r="AE80" s="294"/>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row>
    <row r="81" spans="1:61" ht="15" customHeight="1" x14ac:dyDescent="0.35">
      <c r="A81" s="56"/>
      <c r="B81" s="307"/>
      <c r="C81" s="307"/>
      <c r="D81" s="308"/>
      <c r="E81" s="284"/>
      <c r="F81" s="297"/>
      <c r="G81" s="297"/>
      <c r="H81" s="297"/>
      <c r="I81" s="279"/>
      <c r="J81" s="49" t="str">
        <f>IF(AND('Mapa final'!$AB$79="Alta",'Mapa final'!$AD$79="Leve"),CONCATENATE("R26C",'Mapa final'!$R$79),"")</f>
        <v/>
      </c>
      <c r="K81" s="50" t="str">
        <f>IF(AND('Mapa final'!$AB$80="Alta",'Mapa final'!$AD$80="Leve"),CONCATENATE("R26C",'Mapa final'!$R$80),"")</f>
        <v/>
      </c>
      <c r="L81" s="111" t="str">
        <f>IF(AND('Mapa final'!$AB$81="Alta",'Mapa final'!$AD$81="Leve"),CONCATENATE("R26C",'Mapa final'!$R$81),"")</f>
        <v/>
      </c>
      <c r="M81" s="49" t="str">
        <f>IF(AND('Mapa final'!$AB$79="Alta",'Mapa final'!$AD$79="Menor"),CONCATENATE("R26C",'Mapa final'!$R$79),"")</f>
        <v/>
      </c>
      <c r="N81" s="50" t="str">
        <f>IF(AND('Mapa final'!$AB$80="Alta",'Mapa final'!$AD$80="Menor"),CONCATENATE("R26C",'Mapa final'!$R$80),"")</f>
        <v/>
      </c>
      <c r="O81" s="111" t="str">
        <f>IF(AND('Mapa final'!$AB$81="Alta",'Mapa final'!$AD$81="Menor"),CONCATENATE("R26C",'Mapa final'!$R$81),"")</f>
        <v/>
      </c>
      <c r="P81" s="105" t="str">
        <f>IF(AND('Mapa final'!$AB$79="Alta",'Mapa final'!$AD$79="Moderado"),CONCATENATE("R26C",'Mapa final'!$R$79),"")</f>
        <v/>
      </c>
      <c r="Q81" s="42" t="str">
        <f>IF(AND('Mapa final'!$AB$80="Alta",'Mapa final'!$AD$80="Moderado"),CONCATENATE("R26C",'Mapa final'!$R$80),"")</f>
        <v/>
      </c>
      <c r="R81" s="106" t="str">
        <f>IF(AND('Mapa final'!$AB$81="Alta",'Mapa final'!$AD$81="Moderado"),CONCATENATE("R26C",'Mapa final'!$R$81),"")</f>
        <v/>
      </c>
      <c r="S81" s="105" t="str">
        <f>IF(AND('Mapa final'!$AB$79="Alta",'Mapa final'!$AD$79="Mayor"),CONCATENATE("R26C",'Mapa final'!$R$79),"")</f>
        <v/>
      </c>
      <c r="T81" s="42" t="str">
        <f>IF(AND('Mapa final'!$AB$80="Alta",'Mapa final'!$AD$80="Mayor"),CONCATENATE("R26C",'Mapa final'!$R$80),"")</f>
        <v/>
      </c>
      <c r="U81" s="106" t="str">
        <f>IF(AND('Mapa final'!$AB$81="Alta",'Mapa final'!$AD$81="Mayor"),CONCATENATE("R26C",'Mapa final'!$R$81),"")</f>
        <v/>
      </c>
      <c r="V81" s="43" t="str">
        <f>IF(AND('Mapa final'!$AB$79="Alta",'Mapa final'!$AD$79="Catastrófico"),CONCATENATE("R26C",'Mapa final'!$R$79),"")</f>
        <v/>
      </c>
      <c r="W81" s="44" t="str">
        <f>IF(AND('Mapa final'!$AB$80="Alta",'Mapa final'!$AD$80="Catastrófico"),CONCATENATE("R26C",'Mapa final'!$R$80),"")</f>
        <v/>
      </c>
      <c r="X81" s="100" t="str">
        <f>IF(AND('Mapa final'!$AB$81="Alta",'Mapa final'!$AD$81="Catastrófico"),CONCATENATE("R26C",'Mapa final'!$R$81),"")</f>
        <v/>
      </c>
      <c r="Y81" s="56"/>
      <c r="Z81" s="292"/>
      <c r="AA81" s="293"/>
      <c r="AB81" s="293"/>
      <c r="AC81" s="293"/>
      <c r="AD81" s="293"/>
      <c r="AE81" s="294"/>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row>
    <row r="82" spans="1:61" ht="15" customHeight="1" x14ac:dyDescent="0.35">
      <c r="A82" s="56"/>
      <c r="B82" s="307"/>
      <c r="C82" s="307"/>
      <c r="D82" s="308"/>
      <c r="E82" s="284"/>
      <c r="F82" s="297"/>
      <c r="G82" s="297"/>
      <c r="H82" s="297"/>
      <c r="I82" s="279"/>
      <c r="J82" s="49" t="str">
        <f>IF(AND('Mapa final'!$AB$82="Alta",'Mapa final'!$AD$82="Leve"),CONCATENATE("R27C",'Mapa final'!$R$82),"")</f>
        <v/>
      </c>
      <c r="K82" s="50" t="str">
        <f>IF(AND('Mapa final'!$AB$83="Alta",'Mapa final'!$AD$83="Leve"),CONCATENATE("R27C",'Mapa final'!$R$83),"")</f>
        <v/>
      </c>
      <c r="L82" s="111" t="str">
        <f>IF(AND('Mapa final'!$AB$84="Alta",'Mapa final'!$AD$84="Leve"),CONCATENATE("R27C",'Mapa final'!$R$84),"")</f>
        <v/>
      </c>
      <c r="M82" s="49" t="str">
        <f>IF(AND('Mapa final'!$AB$82="Alta",'Mapa final'!$AD$82="Menor"),CONCATENATE("R27C",'Mapa final'!$R$82),"")</f>
        <v/>
      </c>
      <c r="N82" s="50" t="str">
        <f>IF(AND('Mapa final'!$AB$83="Alta",'Mapa final'!$AD$83="Menor"),CONCATENATE("R27C",'Mapa final'!$R$83),"")</f>
        <v/>
      </c>
      <c r="O82" s="111" t="str">
        <f>IF(AND('Mapa final'!$AB$84="Alta",'Mapa final'!$AD$84="Menor"),CONCATENATE("R27C",'Mapa final'!$R$84),"")</f>
        <v/>
      </c>
      <c r="P82" s="105" t="str">
        <f>IF(AND('Mapa final'!$AB$82="Alta",'Mapa final'!$AD$82="Moderado"),CONCATENATE("R27C",'Mapa final'!$R$82),"")</f>
        <v/>
      </c>
      <c r="Q82" s="42" t="str">
        <f>IF(AND('Mapa final'!$AB$83="Alta",'Mapa final'!$AD$83="Moderado"),CONCATENATE("R27C",'Mapa final'!$R$83),"")</f>
        <v/>
      </c>
      <c r="R82" s="106" t="str">
        <f>IF(AND('Mapa final'!$AB$84="Alta",'Mapa final'!$AD$84="Moderado"),CONCATENATE("R27C",'Mapa final'!$R$84),"")</f>
        <v/>
      </c>
      <c r="S82" s="105" t="str">
        <f>IF(AND('Mapa final'!$AB$82="Alta",'Mapa final'!$AD$82="Mayor"),CONCATENATE("R27C",'Mapa final'!$R$82),"")</f>
        <v/>
      </c>
      <c r="T82" s="42" t="str">
        <f>IF(AND('Mapa final'!$AB$83="Alta",'Mapa final'!$AD$83="Mayor"),CONCATENATE("R27C",'Mapa final'!$R$83),"")</f>
        <v/>
      </c>
      <c r="U82" s="106" t="str">
        <f>IF(AND('Mapa final'!$AB$84="Alta",'Mapa final'!$AD$84="Mayor"),CONCATENATE("R27C",'Mapa final'!$R$84),"")</f>
        <v/>
      </c>
      <c r="V82" s="43" t="str">
        <f>IF(AND('Mapa final'!$AB$82="Alta",'Mapa final'!$AD$82="Catastrófico"),CONCATENATE("R27C",'Mapa final'!$R$82),"")</f>
        <v/>
      </c>
      <c r="W82" s="44" t="str">
        <f>IF(AND('Mapa final'!$AB$83="Alta",'Mapa final'!$AD$83="Catastrófico"),CONCATENATE("R27C",'Mapa final'!$R$83),"")</f>
        <v/>
      </c>
      <c r="X82" s="100" t="str">
        <f>IF(AND('Mapa final'!$AB$84="Alta",'Mapa final'!$AD$84="Catastrófico"),CONCATENATE("R27C",'Mapa final'!$R$84),"")</f>
        <v/>
      </c>
      <c r="Y82" s="56"/>
      <c r="Z82" s="292"/>
      <c r="AA82" s="293"/>
      <c r="AB82" s="293"/>
      <c r="AC82" s="293"/>
      <c r="AD82" s="293"/>
      <c r="AE82" s="294"/>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row>
    <row r="83" spans="1:61" ht="15" customHeight="1" x14ac:dyDescent="0.35">
      <c r="A83" s="56"/>
      <c r="B83" s="307"/>
      <c r="C83" s="307"/>
      <c r="D83" s="308"/>
      <c r="E83" s="284"/>
      <c r="F83" s="297"/>
      <c r="G83" s="297"/>
      <c r="H83" s="297"/>
      <c r="I83" s="279"/>
      <c r="J83" s="49" t="str">
        <f>IF(AND('Mapa final'!$AB$85="Alta",'Mapa final'!$AD$85="Leve"),CONCATENATE("R28C",'Mapa final'!$R$85),"")</f>
        <v/>
      </c>
      <c r="K83" s="50" t="str">
        <f>IF(AND('Mapa final'!$AB$86="Alta",'Mapa final'!$AD$86="Leve"),CONCATENATE("R28C",'Mapa final'!$R$86),"")</f>
        <v/>
      </c>
      <c r="L83" s="111" t="str">
        <f>IF(AND('Mapa final'!$AB$87="Alta",'Mapa final'!$AD$87="Leve"),CONCATENATE("R28C",'Mapa final'!$R$87),"")</f>
        <v/>
      </c>
      <c r="M83" s="49" t="str">
        <f>IF(AND('Mapa final'!$AB$85="Alta",'Mapa final'!$AD$85="Menor"),CONCATENATE("R28C",'Mapa final'!$R$85),"")</f>
        <v/>
      </c>
      <c r="N83" s="50" t="str">
        <f>IF(AND('Mapa final'!$AB$86="Alta",'Mapa final'!$AD$86="Menor"),CONCATENATE("R28C",'Mapa final'!$R$86),"")</f>
        <v/>
      </c>
      <c r="O83" s="111" t="str">
        <f>IF(AND('Mapa final'!$AB$87="Alta",'Mapa final'!$AD$87="Menor"),CONCATENATE("R28C",'Mapa final'!$R$87),"")</f>
        <v/>
      </c>
      <c r="P83" s="105" t="str">
        <f>IF(AND('Mapa final'!$AB$85="Alta",'Mapa final'!$AD$85="Moderado"),CONCATENATE("R28C",'Mapa final'!$R$85),"")</f>
        <v/>
      </c>
      <c r="Q83" s="42" t="str">
        <f>IF(AND('Mapa final'!$AB$86="Alta",'Mapa final'!$AD$86="Moderado"),CONCATENATE("R28C",'Mapa final'!$R$86),"")</f>
        <v/>
      </c>
      <c r="R83" s="106" t="str">
        <f>IF(AND('Mapa final'!$AB$87="Alta",'Mapa final'!$AD$87="Moderado"),CONCATENATE("R28C",'Mapa final'!$R$87),"")</f>
        <v/>
      </c>
      <c r="S83" s="105" t="str">
        <f>IF(AND('Mapa final'!$AB$85="Alta",'Mapa final'!$AD$85="Mayor"),CONCATENATE("R28C",'Mapa final'!$R$85),"")</f>
        <v/>
      </c>
      <c r="T83" s="42" t="str">
        <f>IF(AND('Mapa final'!$AB$86="Alta",'Mapa final'!$AD$86="Mayor"),CONCATENATE("R28C",'Mapa final'!$R$86),"")</f>
        <v/>
      </c>
      <c r="U83" s="106" t="str">
        <f>IF(AND('Mapa final'!$AB$87="Alta",'Mapa final'!$AD$87="Mayor"),CONCATENATE("R28C",'Mapa final'!$R$87),"")</f>
        <v/>
      </c>
      <c r="V83" s="43" t="str">
        <f>IF(AND('Mapa final'!$AB$85="Alta",'Mapa final'!$AD$85="Catastrófico"),CONCATENATE("R28C",'Mapa final'!$R$85),"")</f>
        <v/>
      </c>
      <c r="W83" s="44" t="str">
        <f>IF(AND('Mapa final'!$AB$86="Alta",'Mapa final'!$AD$86="Catastrófico"),CONCATENATE("R28C",'Mapa final'!$R$86),"")</f>
        <v/>
      </c>
      <c r="X83" s="100" t="str">
        <f>IF(AND('Mapa final'!$AB$87="Alta",'Mapa final'!$AD$87="Catastrófico"),CONCATENATE("R28C",'Mapa final'!$R$87),"")</f>
        <v/>
      </c>
      <c r="Y83" s="56"/>
      <c r="Z83" s="292"/>
      <c r="AA83" s="293"/>
      <c r="AB83" s="293"/>
      <c r="AC83" s="293"/>
      <c r="AD83" s="293"/>
      <c r="AE83" s="294"/>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row>
    <row r="84" spans="1:61" ht="15" customHeight="1" x14ac:dyDescent="0.35">
      <c r="A84" s="56"/>
      <c r="B84" s="307"/>
      <c r="C84" s="307"/>
      <c r="D84" s="308"/>
      <c r="E84" s="284"/>
      <c r="F84" s="297"/>
      <c r="G84" s="297"/>
      <c r="H84" s="297"/>
      <c r="I84" s="279"/>
      <c r="J84" s="49" t="str">
        <f>IF(AND('Mapa final'!$AB$88="Alta",'Mapa final'!$AD$88="Leve"),CONCATENATE("R29C",'Mapa final'!$R$88),"")</f>
        <v/>
      </c>
      <c r="K84" s="50" t="str">
        <f>IF(AND('Mapa final'!$AB$89="Alta",'Mapa final'!$AD$89="Leve"),CONCATENATE("R29C",'Mapa final'!$R$89),"")</f>
        <v/>
      </c>
      <c r="L84" s="111" t="str">
        <f>IF(AND('Mapa final'!$AB$90="Alta",'Mapa final'!$AD$90="Leve"),CONCATENATE("R29C",'Mapa final'!$R$90),"")</f>
        <v/>
      </c>
      <c r="M84" s="49" t="str">
        <f>IF(AND('Mapa final'!$AB$88="Alta",'Mapa final'!$AD$88="Menor"),CONCATENATE("R29C",'Mapa final'!$R$88),"")</f>
        <v/>
      </c>
      <c r="N84" s="50" t="str">
        <f>IF(AND('Mapa final'!$AB$89="Alta",'Mapa final'!$AD$89="Menor"),CONCATENATE("R29C",'Mapa final'!$R$89),"")</f>
        <v/>
      </c>
      <c r="O84" s="111" t="str">
        <f>IF(AND('Mapa final'!$AB$90="Alta",'Mapa final'!$AD$90="Menor"),CONCATENATE("R29C",'Mapa final'!$R$90),"")</f>
        <v/>
      </c>
      <c r="P84" s="105" t="str">
        <f>IF(AND('Mapa final'!$AB$88="Alta",'Mapa final'!$AD$88="Moderado"),CONCATENATE("R29C",'Mapa final'!$R$88),"")</f>
        <v/>
      </c>
      <c r="Q84" s="42" t="str">
        <f>IF(AND('Mapa final'!$AB$89="Alta",'Mapa final'!$AD$89="Moderado"),CONCATENATE("R29C",'Mapa final'!$R$89),"")</f>
        <v/>
      </c>
      <c r="R84" s="106" t="str">
        <f>IF(AND('Mapa final'!$AB$90="Alta",'Mapa final'!$AD$90="Moderado"),CONCATENATE("R29C",'Mapa final'!$R$90),"")</f>
        <v/>
      </c>
      <c r="S84" s="105" t="str">
        <f>IF(AND('Mapa final'!$AB$88="Alta",'Mapa final'!$AD$88="Mayor"),CONCATENATE("R29C",'Mapa final'!$R$88),"")</f>
        <v/>
      </c>
      <c r="T84" s="42" t="str">
        <f>IF(AND('Mapa final'!$AB$89="Alta",'Mapa final'!$AD$89="Mayor"),CONCATENATE("R29C",'Mapa final'!$R$89),"")</f>
        <v/>
      </c>
      <c r="U84" s="106" t="str">
        <f>IF(AND('Mapa final'!$AB$90="Alta",'Mapa final'!$AD$90="Mayor"),CONCATENATE("R29C",'Mapa final'!$R$90),"")</f>
        <v/>
      </c>
      <c r="V84" s="43" t="str">
        <f>IF(AND('Mapa final'!$AB$88="Alta",'Mapa final'!$AD$88="Catastrófico"),CONCATENATE("R29C",'Mapa final'!$R$88),"")</f>
        <v/>
      </c>
      <c r="W84" s="44" t="str">
        <f>IF(AND('Mapa final'!$AB$89="Alta",'Mapa final'!$AD$89="Catastrófico"),CONCATENATE("R29C",'Mapa final'!$R$89),"")</f>
        <v/>
      </c>
      <c r="X84" s="100" t="str">
        <f>IF(AND('Mapa final'!$AB$90="Alta",'Mapa final'!$AD$90="Catastrófico"),CONCATENATE("R29C",'Mapa final'!$R$90),"")</f>
        <v/>
      </c>
      <c r="Y84" s="56"/>
      <c r="Z84" s="292"/>
      <c r="AA84" s="293"/>
      <c r="AB84" s="293"/>
      <c r="AC84" s="293"/>
      <c r="AD84" s="293"/>
      <c r="AE84" s="294"/>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row>
    <row r="85" spans="1:61" ht="15" customHeight="1" x14ac:dyDescent="0.35">
      <c r="A85" s="56"/>
      <c r="B85" s="307"/>
      <c r="C85" s="307"/>
      <c r="D85" s="308"/>
      <c r="E85" s="284"/>
      <c r="F85" s="297"/>
      <c r="G85" s="297"/>
      <c r="H85" s="297"/>
      <c r="I85" s="279"/>
      <c r="J85" s="49" t="str">
        <f>IF(AND('Mapa final'!$AB$91="Alta",'Mapa final'!$AD$91="Leve"),CONCATENATE("R30C",'Mapa final'!$R$91),"")</f>
        <v/>
      </c>
      <c r="K85" s="50" t="str">
        <f>IF(AND('Mapa final'!$AB$92="Alta",'Mapa final'!$AD$92="Leve"),CONCATENATE("R30C",'Mapa final'!$R$92),"")</f>
        <v/>
      </c>
      <c r="L85" s="111" t="str">
        <f>IF(AND('Mapa final'!$AB$93="Alta",'Mapa final'!$AD$93="Leve"),CONCATENATE("R30C",'Mapa final'!$R$93),"")</f>
        <v/>
      </c>
      <c r="M85" s="49" t="str">
        <f>IF(AND('Mapa final'!$AB$91="Alta",'Mapa final'!$AD$91="Menor"),CONCATENATE("R30C",'Mapa final'!$R$91),"")</f>
        <v/>
      </c>
      <c r="N85" s="50" t="str">
        <f>IF(AND('Mapa final'!$AB$92="Alta",'Mapa final'!$AD$92="Menor"),CONCATENATE("R30C",'Mapa final'!$R$92),"")</f>
        <v/>
      </c>
      <c r="O85" s="111" t="str">
        <f>IF(AND('Mapa final'!$AB$93="Alta",'Mapa final'!$AD$93="Menor"),CONCATENATE("R30C",'Mapa final'!$R$93),"")</f>
        <v/>
      </c>
      <c r="P85" s="105" t="str">
        <f>IF(AND('Mapa final'!$AB$91="Alta",'Mapa final'!$AD$91="Moderado"),CONCATENATE("R30C",'Mapa final'!$R$91),"")</f>
        <v/>
      </c>
      <c r="Q85" s="42" t="str">
        <f>IF(AND('Mapa final'!$AB$92="Alta",'Mapa final'!$AD$92="Moderado"),CONCATENATE("R30C",'Mapa final'!$R$92),"")</f>
        <v/>
      </c>
      <c r="R85" s="106" t="str">
        <f>IF(AND('Mapa final'!$AB$93="Alta",'Mapa final'!$AD$93="Moderado"),CONCATENATE("R30C",'Mapa final'!$R$93),"")</f>
        <v/>
      </c>
      <c r="S85" s="105" t="str">
        <f>IF(AND('Mapa final'!$AB$91="Alta",'Mapa final'!$AD$91="Mayor"),CONCATENATE("R30C",'Mapa final'!$R$91),"")</f>
        <v/>
      </c>
      <c r="T85" s="42" t="str">
        <f>IF(AND('Mapa final'!$AB$92="Alta",'Mapa final'!$AD$92="Mayor"),CONCATENATE("R30C",'Mapa final'!$R$92),"")</f>
        <v/>
      </c>
      <c r="U85" s="106" t="str">
        <f>IF(AND('Mapa final'!$AB$93="Alta",'Mapa final'!$AD$93="Mayor"),CONCATENATE("R30C",'Mapa final'!$R$93),"")</f>
        <v/>
      </c>
      <c r="V85" s="43" t="str">
        <f>IF(AND('Mapa final'!$AB$91="Alta",'Mapa final'!$AD$91="Catastrófico"),CONCATENATE("R30C",'Mapa final'!$R$91),"")</f>
        <v/>
      </c>
      <c r="W85" s="44" t="str">
        <f>IF(AND('Mapa final'!$AB$92="Alta",'Mapa final'!$AD$92="Catastrófico"),CONCATENATE("R30C",'Mapa final'!$R$92),"")</f>
        <v/>
      </c>
      <c r="X85" s="100" t="str">
        <f>IF(AND('Mapa final'!$AB$93="Alta",'Mapa final'!$AD$93="Catastrófico"),CONCATENATE("R30C",'Mapa final'!$R$93),"")</f>
        <v/>
      </c>
      <c r="Y85" s="56"/>
      <c r="Z85" s="292"/>
      <c r="AA85" s="293"/>
      <c r="AB85" s="293"/>
      <c r="AC85" s="293"/>
      <c r="AD85" s="293"/>
      <c r="AE85" s="294"/>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row>
    <row r="86" spans="1:61" ht="15" customHeight="1" x14ac:dyDescent="0.35">
      <c r="A86" s="56"/>
      <c r="B86" s="307"/>
      <c r="C86" s="307"/>
      <c r="D86" s="308"/>
      <c r="E86" s="284"/>
      <c r="F86" s="297"/>
      <c r="G86" s="297"/>
      <c r="H86" s="297"/>
      <c r="I86" s="279"/>
      <c r="J86" s="49" t="str">
        <f>IF(AND('Mapa final'!$AB$94="Alta",'Mapa final'!$AD$94="Leve"),CONCATENATE("R31C",'Mapa final'!$R$94),"")</f>
        <v/>
      </c>
      <c r="K86" s="50" t="str">
        <f>IF(AND('Mapa final'!$AB$95="Alta",'Mapa final'!$AD$95="Leve"),CONCATENATE("R31C",'Mapa final'!$R$95),"")</f>
        <v/>
      </c>
      <c r="L86" s="111" t="str">
        <f>IF(AND('Mapa final'!$AB$96="Alta",'Mapa final'!$AD$96="Leve"),CONCATENATE("R31C",'Mapa final'!$R$96),"")</f>
        <v/>
      </c>
      <c r="M86" s="49" t="str">
        <f>IF(AND('Mapa final'!$AB$94="Alta",'Mapa final'!$AD$94="Menor"),CONCATENATE("R31C",'Mapa final'!$R$94),"")</f>
        <v/>
      </c>
      <c r="N86" s="50" t="str">
        <f>IF(AND('Mapa final'!$AB$95="Alta",'Mapa final'!$AD$95="Menor"),CONCATENATE("R31C",'Mapa final'!$R$95),"")</f>
        <v/>
      </c>
      <c r="O86" s="111" t="str">
        <f>IF(AND('Mapa final'!$AB$96="Alta",'Mapa final'!$AD$96="Menor"),CONCATENATE("R31C",'Mapa final'!$R$96),"")</f>
        <v/>
      </c>
      <c r="P86" s="105" t="str">
        <f>IF(AND('Mapa final'!$AB$94="Alta",'Mapa final'!$AD$94="Moderado"),CONCATENATE("R31C",'Mapa final'!$R$94),"")</f>
        <v/>
      </c>
      <c r="Q86" s="42" t="str">
        <f>IF(AND('Mapa final'!$AB$95="Alta",'Mapa final'!$AD$95="Moderado"),CONCATENATE("R31C",'Mapa final'!$R$95),"")</f>
        <v/>
      </c>
      <c r="R86" s="106" t="str">
        <f>IF(AND('Mapa final'!$AB$96="Alta",'Mapa final'!$AD$96="Moderado"),CONCATENATE("R31C",'Mapa final'!$R$96),"")</f>
        <v/>
      </c>
      <c r="S86" s="105" t="str">
        <f>IF(AND('Mapa final'!$AB$94="Alta",'Mapa final'!$AD$94="Mayor"),CONCATENATE("R31C",'Mapa final'!$R$94),"")</f>
        <v/>
      </c>
      <c r="T86" s="42" t="str">
        <f>IF(AND('Mapa final'!$AB$95="Alta",'Mapa final'!$AD$95="Mayor"),CONCATENATE("R31C",'Mapa final'!$R$95),"")</f>
        <v/>
      </c>
      <c r="U86" s="106" t="str">
        <f>IF(AND('Mapa final'!$AB$96="Alta",'Mapa final'!$AD$96="Mayor"),CONCATENATE("R31C",'Mapa final'!$R$96),"")</f>
        <v/>
      </c>
      <c r="V86" s="43" t="str">
        <f>IF(AND('Mapa final'!$AB$94="Alta",'Mapa final'!$AD$94="Catastrófico"),CONCATENATE("R31C",'Mapa final'!$R$94),"")</f>
        <v/>
      </c>
      <c r="W86" s="44" t="str">
        <f>IF(AND('Mapa final'!$AB$95="Alta",'Mapa final'!$AD$95="Catastrófico"),CONCATENATE("R31C",'Mapa final'!$R$95),"")</f>
        <v/>
      </c>
      <c r="X86" s="100" t="str">
        <f>IF(AND('Mapa final'!$AB$96="Alta",'Mapa final'!$AD$96="Catastrófico"),CONCATENATE("R31C",'Mapa final'!$R$96),"")</f>
        <v/>
      </c>
      <c r="Y86" s="56"/>
      <c r="Z86" s="292"/>
      <c r="AA86" s="293"/>
      <c r="AB86" s="293"/>
      <c r="AC86" s="293"/>
      <c r="AD86" s="293"/>
      <c r="AE86" s="294"/>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row>
    <row r="87" spans="1:61" ht="15" customHeight="1" x14ac:dyDescent="0.35">
      <c r="A87" s="56"/>
      <c r="B87" s="307"/>
      <c r="C87" s="307"/>
      <c r="D87" s="308"/>
      <c r="E87" s="284"/>
      <c r="F87" s="297"/>
      <c r="G87" s="297"/>
      <c r="H87" s="297"/>
      <c r="I87" s="279"/>
      <c r="J87" s="49" t="e">
        <f>IF(AND('Mapa final'!#REF!="Alta",'Mapa final'!#REF!="Leve"),CONCATENATE("R32C",'Mapa final'!#REF!),"")</f>
        <v>#REF!</v>
      </c>
      <c r="K87" s="50" t="e">
        <f>IF(AND('Mapa final'!#REF!="Alta",'Mapa final'!#REF!="Leve"),CONCATENATE("R32C",'Mapa final'!#REF!),"")</f>
        <v>#REF!</v>
      </c>
      <c r="L87" s="111" t="e">
        <f>IF(AND('Mapa final'!#REF!="Alta",'Mapa final'!#REF!="Leve"),CONCATENATE("R32C",'Mapa final'!#REF!),"")</f>
        <v>#REF!</v>
      </c>
      <c r="M87" s="49" t="e">
        <f>IF(AND('Mapa final'!#REF!="Alta",'Mapa final'!#REF!="Menor"),CONCATENATE("R32C",'Mapa final'!#REF!),"")</f>
        <v>#REF!</v>
      </c>
      <c r="N87" s="50" t="e">
        <f>IF(AND('Mapa final'!#REF!="Alta",'Mapa final'!#REF!="Menor"),CONCATENATE("R32C",'Mapa final'!#REF!),"")</f>
        <v>#REF!</v>
      </c>
      <c r="O87" s="111" t="e">
        <f>IF(AND('Mapa final'!#REF!="Alta",'Mapa final'!#REF!="Menor"),CONCATENATE("R32C",'Mapa final'!#REF!),"")</f>
        <v>#REF!</v>
      </c>
      <c r="P87" s="105" t="e">
        <f>IF(AND('Mapa final'!#REF!="Alta",'Mapa final'!#REF!="Moderado"),CONCATENATE("R32C",'Mapa final'!#REF!),"")</f>
        <v>#REF!</v>
      </c>
      <c r="Q87" s="42" t="e">
        <f>IF(AND('Mapa final'!#REF!="Alta",'Mapa final'!#REF!="Moderado"),CONCATENATE("R32C",'Mapa final'!#REF!),"")</f>
        <v>#REF!</v>
      </c>
      <c r="R87" s="42" t="e">
        <f>IF(AND('Mapa final'!#REF!="Alta",'Mapa final'!#REF!="Moderado"),CONCATENATE("R32C",'Mapa final'!#REF!),"")</f>
        <v>#REF!</v>
      </c>
      <c r="S87" s="105" t="e">
        <f>IF(AND('Mapa final'!#REF!="Alta",'Mapa final'!#REF!="Mayor"),CONCATENATE("R32C",'Mapa final'!#REF!),"")</f>
        <v>#REF!</v>
      </c>
      <c r="T87" s="42" t="e">
        <f>IF(AND('Mapa final'!#REF!="Alta",'Mapa final'!#REF!="Mayor"),CONCATENATE("R32C",'Mapa final'!#REF!),"")</f>
        <v>#REF!</v>
      </c>
      <c r="U87" s="106" t="e">
        <f>IF(AND('Mapa final'!#REF!="Alta",'Mapa final'!#REF!="Mayor"),CONCATENATE("R32C",'Mapa final'!#REF!),"")</f>
        <v>#REF!</v>
      </c>
      <c r="V87" s="43" t="e">
        <f>IF(AND('Mapa final'!#REF!="Alta",'Mapa final'!#REF!="Catastrófico"),CONCATENATE("R32C",'Mapa final'!#REF!),"")</f>
        <v>#REF!</v>
      </c>
      <c r="W87" s="44" t="e">
        <f>IF(AND('Mapa final'!#REF!="Alta",'Mapa final'!#REF!="Catastrófico"),CONCATENATE("R32C",'Mapa final'!#REF!),"")</f>
        <v>#REF!</v>
      </c>
      <c r="X87" s="100" t="e">
        <f>IF(AND('Mapa final'!#REF!="Alta",'Mapa final'!#REF!="Catastrófico"),CONCATENATE("R32C",'Mapa final'!#REF!),"")</f>
        <v>#REF!</v>
      </c>
      <c r="Y87" s="56"/>
      <c r="Z87" s="292"/>
      <c r="AA87" s="293"/>
      <c r="AB87" s="293"/>
      <c r="AC87" s="293"/>
      <c r="AD87" s="293"/>
      <c r="AE87" s="294"/>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row>
    <row r="88" spans="1:61" ht="15" customHeight="1" x14ac:dyDescent="0.35">
      <c r="A88" s="56"/>
      <c r="B88" s="307"/>
      <c r="C88" s="307"/>
      <c r="D88" s="308"/>
      <c r="E88" s="284"/>
      <c r="F88" s="297"/>
      <c r="G88" s="297"/>
      <c r="H88" s="297"/>
      <c r="I88" s="279"/>
      <c r="J88" s="49" t="str">
        <f>IF(AND('Mapa final'!$AB$97="Alta",'Mapa final'!$AD$97="Leve"),CONCATENATE("R33C",'Mapa final'!$R$97),"")</f>
        <v/>
      </c>
      <c r="K88" s="50" t="str">
        <f>IF(AND('Mapa final'!$AB$98="Alta",'Mapa final'!$AD$98="Leve"),CONCATENATE("R33C",'Mapa final'!$R$98),"")</f>
        <v/>
      </c>
      <c r="L88" s="111" t="str">
        <f>IF(AND('Mapa final'!$AB$99="Alta",'Mapa final'!$AD$99="Leve"),CONCATENATE("R33C",'Mapa final'!$R$99),"")</f>
        <v/>
      </c>
      <c r="M88" s="49" t="str">
        <f>IF(AND('Mapa final'!$AB$97="Alta",'Mapa final'!$AD$97="Menor"),CONCATENATE("R33C",'Mapa final'!$R$97),"")</f>
        <v/>
      </c>
      <c r="N88" s="50" t="str">
        <f>IF(AND('Mapa final'!$AB$98="Alta",'Mapa final'!$AD$98="Menor"),CONCATENATE("R33C",'Mapa final'!$R$98),"")</f>
        <v/>
      </c>
      <c r="O88" s="111" t="str">
        <f>IF(AND('Mapa final'!$AB$99="Alta",'Mapa final'!$AD$99="Menor"),CONCATENATE("R33C",'Mapa final'!$R$99),"")</f>
        <v/>
      </c>
      <c r="P88" s="105" t="str">
        <f>IF(AND('Mapa final'!$AB$97="Alta",'Mapa final'!$AD$97="Moderado"),CONCATENATE("R33C",'Mapa final'!$R$97),"")</f>
        <v/>
      </c>
      <c r="Q88" s="42" t="str">
        <f>IF(AND('Mapa final'!$AB$98="Alta",'Mapa final'!$AD$98="Moderado"),CONCATENATE("R33C",'Mapa final'!$R$98),"")</f>
        <v/>
      </c>
      <c r="R88" s="42" t="str">
        <f>IF(AND('Mapa final'!$AB$99="Alta",'Mapa final'!$AD$99="Moderado"),CONCATENATE("R33C",'Mapa final'!$R$99),"")</f>
        <v/>
      </c>
      <c r="S88" s="105" t="str">
        <f>IF(AND('Mapa final'!$AB$97="Alta",'Mapa final'!$AD$97="Mayor"),CONCATENATE("R33C",'Mapa final'!$R$97),"")</f>
        <v/>
      </c>
      <c r="T88" s="42" t="str">
        <f>IF(AND('Mapa final'!$AB$98="Alta",'Mapa final'!$AD$98="Mayor"),CONCATENATE("R33C",'Mapa final'!$R$98),"")</f>
        <v/>
      </c>
      <c r="U88" s="106" t="str">
        <f>IF(AND('Mapa final'!$AB$99="Alta",'Mapa final'!$AD$99="Mayor"),CONCATENATE("R33C",'Mapa final'!$R$99),"")</f>
        <v/>
      </c>
      <c r="V88" s="43" t="str">
        <f>IF(AND('Mapa final'!$AB$97="Alta",'Mapa final'!$AD$97="Catastrófico"),CONCATENATE("R33C",'Mapa final'!$R$97),"")</f>
        <v/>
      </c>
      <c r="W88" s="44" t="str">
        <f>IF(AND('Mapa final'!$AB$98="Alta",'Mapa final'!$AD$98="Catastrófico"),CONCATENATE("R33C",'Mapa final'!$R$98),"")</f>
        <v/>
      </c>
      <c r="X88" s="100" t="str">
        <f>IF(AND('Mapa final'!$AB$99="Alta",'Mapa final'!$AD$99="Catastrófico"),CONCATENATE("R33C",'Mapa final'!$R$99),"")</f>
        <v/>
      </c>
      <c r="Y88" s="56"/>
      <c r="Z88" s="292"/>
      <c r="AA88" s="293"/>
      <c r="AB88" s="293"/>
      <c r="AC88" s="293"/>
      <c r="AD88" s="293"/>
      <c r="AE88" s="294"/>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row>
    <row r="89" spans="1:61" ht="15" customHeight="1" x14ac:dyDescent="0.35">
      <c r="A89" s="56"/>
      <c r="B89" s="307"/>
      <c r="C89" s="307"/>
      <c r="D89" s="308"/>
      <c r="E89" s="284"/>
      <c r="F89" s="297"/>
      <c r="G89" s="297"/>
      <c r="H89" s="297"/>
      <c r="I89" s="279"/>
      <c r="J89" s="49" t="str">
        <f>IF(AND('Mapa final'!$AB$100="Alta",'Mapa final'!$AD$100="Leve"),CONCATENATE("R34C",'Mapa final'!$R$100),"")</f>
        <v/>
      </c>
      <c r="K89" s="50" t="str">
        <f>IF(AND('Mapa final'!$AB$101="Alta",'Mapa final'!$AD$101="Leve"),CONCATENATE("R34C",'Mapa final'!$R$101),"")</f>
        <v/>
      </c>
      <c r="L89" s="111" t="str">
        <f>IF(AND('Mapa final'!$AB$102="Alta",'Mapa final'!$AD$102="Leve"),CONCATENATE("R34C",'Mapa final'!$R$102),"")</f>
        <v/>
      </c>
      <c r="M89" s="49" t="str">
        <f>IF(AND('Mapa final'!$AB$100="Alta",'Mapa final'!$AD$100="Menor"),CONCATENATE("R34C",'Mapa final'!$R$100),"")</f>
        <v/>
      </c>
      <c r="N89" s="50" t="str">
        <f>IF(AND('Mapa final'!$AB$101="Alta",'Mapa final'!$AD$101="Menor"),CONCATENATE("R34C",'Mapa final'!$R$101),"")</f>
        <v/>
      </c>
      <c r="O89" s="111" t="str">
        <f>IF(AND('Mapa final'!$AB$102="Alta",'Mapa final'!$AD$102="Menor"),CONCATENATE("R34C",'Mapa final'!$R$102),"")</f>
        <v/>
      </c>
      <c r="P89" s="105" t="str">
        <f>IF(AND('Mapa final'!$AB$100="Alta",'Mapa final'!$AD$100="Moderado"),CONCATENATE("R34C",'Mapa final'!$R$100),"")</f>
        <v/>
      </c>
      <c r="Q89" s="42" t="str">
        <f>IF(AND('Mapa final'!$AB$101="Alta",'Mapa final'!$AD$101="Moderado"),CONCATENATE("R34C",'Mapa final'!$R$101),"")</f>
        <v/>
      </c>
      <c r="R89" s="106" t="str">
        <f>IF(AND('Mapa final'!$AB$102="Alta",'Mapa final'!$AD$102="Moderado"),CONCATENATE("R34C",'Mapa final'!$R$102),"")</f>
        <v/>
      </c>
      <c r="S89" s="105" t="str">
        <f>IF(AND('Mapa final'!$AB$100="Alta",'Mapa final'!$AD$100="Mayor"),CONCATENATE("R34C",'Mapa final'!$R$100),"")</f>
        <v/>
      </c>
      <c r="T89" s="42" t="str">
        <f>IF(AND('Mapa final'!$AB$101="Alta",'Mapa final'!$AD$101="Mayor"),CONCATENATE("R34C",'Mapa final'!$R$101),"")</f>
        <v/>
      </c>
      <c r="U89" s="106" t="str">
        <f>IF(AND('Mapa final'!$AB$102="Alta",'Mapa final'!$AD$102="Mayor"),CONCATENATE("R34C",'Mapa final'!$R$102),"")</f>
        <v/>
      </c>
      <c r="V89" s="43" t="str">
        <f>IF(AND('Mapa final'!$AB$100="Alta",'Mapa final'!$AD$100="Catastrófico"),CONCATENATE("R34C",'Mapa final'!$R$100),"")</f>
        <v/>
      </c>
      <c r="W89" s="44" t="str">
        <f>IF(AND('Mapa final'!$AB$101="Alta",'Mapa final'!$AD$101="Catastrófico"),CONCATENATE("R34C",'Mapa final'!$R$101),"")</f>
        <v/>
      </c>
      <c r="X89" s="100" t="str">
        <f>IF(AND('Mapa final'!$AB$102="Alta",'Mapa final'!$AD$102="Catastrófico"),CONCATENATE("R34C",'Mapa final'!$R$102),"")</f>
        <v/>
      </c>
      <c r="Y89" s="56"/>
      <c r="Z89" s="292"/>
      <c r="AA89" s="293"/>
      <c r="AB89" s="293"/>
      <c r="AC89" s="293"/>
      <c r="AD89" s="293"/>
      <c r="AE89" s="294"/>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row>
    <row r="90" spans="1:61" ht="15" customHeight="1" x14ac:dyDescent="0.35">
      <c r="A90" s="56"/>
      <c r="B90" s="307"/>
      <c r="C90" s="307"/>
      <c r="D90" s="308"/>
      <c r="E90" s="284"/>
      <c r="F90" s="297"/>
      <c r="G90" s="297"/>
      <c r="H90" s="297"/>
      <c r="I90" s="279"/>
      <c r="J90" s="49" t="str">
        <f>IF(AND('Mapa final'!$AB$103="Alta",'Mapa final'!$AD$103="Leve"),CONCATENATE("R35C",'Mapa final'!$R$103),"")</f>
        <v/>
      </c>
      <c r="K90" s="50" t="str">
        <f>IF(AND('Mapa final'!$AB$104="Alta",'Mapa final'!$AD$104="Leve"),CONCATENATE("R35C",'Mapa final'!$R$104),"")</f>
        <v/>
      </c>
      <c r="L90" s="111" t="str">
        <f>IF(AND('Mapa final'!$AB$105="Alta",'Mapa final'!$AD$105="Leve"),CONCATENATE("R35C",'Mapa final'!$R$105),"")</f>
        <v/>
      </c>
      <c r="M90" s="49" t="str">
        <f>IF(AND('Mapa final'!$AB$103="Alta",'Mapa final'!$AD$103="Menor"),CONCATENATE("R35C",'Mapa final'!$R$103),"")</f>
        <v/>
      </c>
      <c r="N90" s="50" t="str">
        <f>IF(AND('Mapa final'!$AB$104="Alta",'Mapa final'!$AD$104="Menor"),CONCATENATE("R35C",'Mapa final'!$R$104),"")</f>
        <v/>
      </c>
      <c r="O90" s="111" t="str">
        <f>IF(AND('Mapa final'!$AB$105="Alta",'Mapa final'!$AD$105="Menor"),CONCATENATE("R35C",'Mapa final'!$R$105),"")</f>
        <v/>
      </c>
      <c r="P90" s="105" t="str">
        <f>IF(AND('Mapa final'!$AB$103="Alta",'Mapa final'!$AD$103="Moderado"),CONCATENATE("R35C",'Mapa final'!$R$103),"")</f>
        <v/>
      </c>
      <c r="Q90" s="42" t="str">
        <f>IF(AND('Mapa final'!$AB$104="Alta",'Mapa final'!$AD$104="Moderado"),CONCATENATE("R35C",'Mapa final'!$R$104),"")</f>
        <v/>
      </c>
      <c r="R90" s="106" t="str">
        <f>IF(AND('Mapa final'!$AB$105="Alta",'Mapa final'!$AD$105="Moderado"),CONCATENATE("R35C",'Mapa final'!$R$105),"")</f>
        <v/>
      </c>
      <c r="S90" s="105" t="str">
        <f>IF(AND('Mapa final'!$AB$103="Alta",'Mapa final'!$AD$103="Mayor"),CONCATENATE("R35C",'Mapa final'!$R$103),"")</f>
        <v/>
      </c>
      <c r="T90" s="42" t="str">
        <f>IF(AND('Mapa final'!$AB$104="Alta",'Mapa final'!$AD$104="Mayor"),CONCATENATE("R35C",'Mapa final'!$R$104),"")</f>
        <v/>
      </c>
      <c r="U90" s="106" t="str">
        <f>IF(AND('Mapa final'!$AB$105="Alta",'Mapa final'!$AD$105="Mayor"),CONCATENATE("R35C",'Mapa final'!$R$105),"")</f>
        <v/>
      </c>
      <c r="V90" s="43" t="str">
        <f>IF(AND('Mapa final'!$AB$103="Alta",'Mapa final'!$AD$103="Catastrófico"),CONCATENATE("R35C",'Mapa final'!$R$103),"")</f>
        <v/>
      </c>
      <c r="W90" s="44" t="str">
        <f>IF(AND('Mapa final'!$AB$104="Alta",'Mapa final'!$AD$104="Catastrófico"),CONCATENATE("R35C",'Mapa final'!$R$104),"")</f>
        <v/>
      </c>
      <c r="X90" s="100" t="str">
        <f>IF(AND('Mapa final'!$AB$105="Alta",'Mapa final'!$AD$105="Catastrófico"),CONCATENATE("R35C",'Mapa final'!$R$105),"")</f>
        <v/>
      </c>
      <c r="Y90" s="56"/>
      <c r="Z90" s="292"/>
      <c r="AA90" s="293"/>
      <c r="AB90" s="293"/>
      <c r="AC90" s="293"/>
      <c r="AD90" s="293"/>
      <c r="AE90" s="294"/>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row>
    <row r="91" spans="1:61" ht="15" customHeight="1" x14ac:dyDescent="0.35">
      <c r="A91" s="56"/>
      <c r="B91" s="307"/>
      <c r="C91" s="307"/>
      <c r="D91" s="308"/>
      <c r="E91" s="284"/>
      <c r="F91" s="297"/>
      <c r="G91" s="297"/>
      <c r="H91" s="297"/>
      <c r="I91" s="279"/>
      <c r="J91" s="49" t="str">
        <f>IF(AND('Mapa final'!$AB$106="Alta",'Mapa final'!$AD$106="Leve"),CONCATENATE("R36C",'Mapa final'!$R$106),"")</f>
        <v/>
      </c>
      <c r="K91" s="50" t="str">
        <f>IF(AND('Mapa final'!$AB$107="Alta",'Mapa final'!$AD$107="Leve"),CONCATENATE("R36C",'Mapa final'!$R$107),"")</f>
        <v/>
      </c>
      <c r="L91" s="111" t="str">
        <f>IF(AND('Mapa final'!$AB$108="Alta",'Mapa final'!$AD$108="Leve"),CONCATENATE("R36C",'Mapa final'!$R$108),"")</f>
        <v/>
      </c>
      <c r="M91" s="49" t="str">
        <f>IF(AND('Mapa final'!$AB$106="Alta",'Mapa final'!$AD$106="Menor"),CONCATENATE("R36C",'Mapa final'!$R$106),"")</f>
        <v/>
      </c>
      <c r="N91" s="50" t="str">
        <f>IF(AND('Mapa final'!$AB$107="Alta",'Mapa final'!$AD$107="Menor"),CONCATENATE("R36C",'Mapa final'!$R$107),"")</f>
        <v/>
      </c>
      <c r="O91" s="111" t="str">
        <f>IF(AND('Mapa final'!$AB$108="Alta",'Mapa final'!$AD$108="Menor"),CONCATENATE("R36C",'Mapa final'!$R$108),"")</f>
        <v/>
      </c>
      <c r="P91" s="105" t="str">
        <f>IF(AND('Mapa final'!$AB$106="Alta",'Mapa final'!$AD$106="Moderado"),CONCATENATE("R36C",'Mapa final'!$R$106),"")</f>
        <v/>
      </c>
      <c r="Q91" s="42" t="str">
        <f>IF(AND('Mapa final'!$AB$107="Alta",'Mapa final'!$AD$107="Moderado"),CONCATENATE("R36C",'Mapa final'!$R$107),"")</f>
        <v/>
      </c>
      <c r="R91" s="106" t="str">
        <f>IF(AND('Mapa final'!$AB$108="Alta",'Mapa final'!$AD$108="Moderado"),CONCATENATE("R36C",'Mapa final'!$R$108),"")</f>
        <v/>
      </c>
      <c r="S91" s="105" t="str">
        <f>IF(AND('Mapa final'!$AB$106="Alta",'Mapa final'!$AD$106="Mayor"),CONCATENATE("R36C",'Mapa final'!$R$106),"")</f>
        <v/>
      </c>
      <c r="T91" s="42" t="str">
        <f>IF(AND('Mapa final'!$AB$107="Alta",'Mapa final'!$AD$107="Mayor"),CONCATENATE("R36C",'Mapa final'!$R$107),"")</f>
        <v/>
      </c>
      <c r="U91" s="106" t="str">
        <f>IF(AND('Mapa final'!$AB$108="Alta",'Mapa final'!$AD$108="Mayor"),CONCATENATE("R36C",'Mapa final'!$R$108),"")</f>
        <v/>
      </c>
      <c r="V91" s="43" t="str">
        <f>IF(AND('Mapa final'!$AB$106="Alta",'Mapa final'!$AD$106="Catastrófico"),CONCATENATE("R36C",'Mapa final'!$R$106),"")</f>
        <v/>
      </c>
      <c r="W91" s="44" t="str">
        <f>IF(AND('Mapa final'!$AB$107="Alta",'Mapa final'!$AD$107="Catastrófico"),CONCATENATE("R36C",'Mapa final'!$R$107),"")</f>
        <v/>
      </c>
      <c r="X91" s="100" t="str">
        <f>IF(AND('Mapa final'!$AB$108="Alta",'Mapa final'!$AD$108="Catastrófico"),CONCATENATE("R36C",'Mapa final'!$R$108),"")</f>
        <v/>
      </c>
      <c r="Y91" s="56"/>
      <c r="Z91" s="292"/>
      <c r="AA91" s="293"/>
      <c r="AB91" s="293"/>
      <c r="AC91" s="293"/>
      <c r="AD91" s="293"/>
      <c r="AE91" s="294"/>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row>
    <row r="92" spans="1:61" ht="15" customHeight="1" x14ac:dyDescent="0.35">
      <c r="A92" s="56"/>
      <c r="B92" s="307"/>
      <c r="C92" s="307"/>
      <c r="D92" s="308"/>
      <c r="E92" s="284"/>
      <c r="F92" s="297"/>
      <c r="G92" s="297"/>
      <c r="H92" s="297"/>
      <c r="I92" s="279"/>
      <c r="J92" s="49" t="str">
        <f>IF(AND('Mapa final'!$AB$109="Alta",'Mapa final'!$AD$109="Leve"),CONCATENATE("R37C",'Mapa final'!$R$109),"")</f>
        <v/>
      </c>
      <c r="K92" s="50" t="str">
        <f>IF(AND('Mapa final'!$AB$110="Alta",'Mapa final'!$AD$110="Leve"),CONCATENATE("R37C",'Mapa final'!$R$110),"")</f>
        <v/>
      </c>
      <c r="L92" s="111" t="str">
        <f>IF(AND('Mapa final'!$AB$111="Alta",'Mapa final'!$AD$111="Leve"),CONCATENATE("R37C",'Mapa final'!$R$111),"")</f>
        <v/>
      </c>
      <c r="M92" s="49" t="str">
        <f>IF(AND('Mapa final'!$AB$109="Alta",'Mapa final'!$AD$109="Menor"),CONCATENATE("R37C",'Mapa final'!$R$109),"")</f>
        <v/>
      </c>
      <c r="N92" s="50" t="str">
        <f>IF(AND('Mapa final'!$AB$110="Alta",'Mapa final'!$AD$110="Menor"),CONCATENATE("R37C",'Mapa final'!$R$110),"")</f>
        <v/>
      </c>
      <c r="O92" s="111" t="str">
        <f>IF(AND('Mapa final'!$AB$111="Alta",'Mapa final'!$AD$111="Menor"),CONCATENATE("R37C",'Mapa final'!$R$111),"")</f>
        <v/>
      </c>
      <c r="P92" s="105" t="str">
        <f>IF(AND('Mapa final'!$AB$109="Alta",'Mapa final'!$AD$109="Moderado"),CONCATENATE("R37C",'Mapa final'!$R$109),"")</f>
        <v/>
      </c>
      <c r="Q92" s="42" t="str">
        <f>IF(AND('Mapa final'!$AB$110="Alta",'Mapa final'!$AD$110="Moderado"),CONCATENATE("R37C",'Mapa final'!$R$110),"")</f>
        <v/>
      </c>
      <c r="R92" s="106" t="str">
        <f>IF(AND('Mapa final'!$AB$111="Alta",'Mapa final'!$AD$111="Moderado"),CONCATENATE("R37C",'Mapa final'!$R$111),"")</f>
        <v/>
      </c>
      <c r="S92" s="105" t="str">
        <f>IF(AND('Mapa final'!$AB$109="Alta",'Mapa final'!$AD$109="Mayor"),CONCATENATE("R37C",'Mapa final'!$R$109),"")</f>
        <v/>
      </c>
      <c r="T92" s="42" t="str">
        <f>IF(AND('Mapa final'!$AB$110="Alta",'Mapa final'!$AD$110="Mayor"),CONCATENATE("R37C",'Mapa final'!$R$110),"")</f>
        <v/>
      </c>
      <c r="U92" s="106" t="str">
        <f>IF(AND('Mapa final'!$AB$111="Alta",'Mapa final'!$AD$111="Mayor"),CONCATENATE("R37C",'Mapa final'!$R$111),"")</f>
        <v/>
      </c>
      <c r="V92" s="43" t="str">
        <f>IF(AND('Mapa final'!$AB$109="Alta",'Mapa final'!$AD$109="Catastrófico"),CONCATENATE("R37C",'Mapa final'!$R$109),"")</f>
        <v/>
      </c>
      <c r="W92" s="44" t="str">
        <f>IF(AND('Mapa final'!$AB$110="Alta",'Mapa final'!$AD$110="Catastrófico"),CONCATENATE("R37C",'Mapa final'!$R$110),"")</f>
        <v/>
      </c>
      <c r="X92" s="100" t="str">
        <f>IF(AND('Mapa final'!$AB$111="Alta",'Mapa final'!$AD$111="Catastrófico"),CONCATENATE("R37C",'Mapa final'!$R$111),"")</f>
        <v/>
      </c>
      <c r="Y92" s="56"/>
      <c r="Z92" s="292"/>
      <c r="AA92" s="293"/>
      <c r="AB92" s="293"/>
      <c r="AC92" s="293"/>
      <c r="AD92" s="293"/>
      <c r="AE92" s="294"/>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row>
    <row r="93" spans="1:61" ht="15" customHeight="1" x14ac:dyDescent="0.35">
      <c r="A93" s="56"/>
      <c r="B93" s="307"/>
      <c r="C93" s="307"/>
      <c r="D93" s="308"/>
      <c r="E93" s="284"/>
      <c r="F93" s="297"/>
      <c r="G93" s="297"/>
      <c r="H93" s="297"/>
      <c r="I93" s="279"/>
      <c r="J93" s="49" t="str">
        <f>IF(AND('Mapa final'!$AB$112="Alta",'Mapa final'!$AD$112="Leve"),CONCATENATE("R38C",'Mapa final'!$R$112),"")</f>
        <v/>
      </c>
      <c r="K93" s="50" t="str">
        <f>IF(AND('Mapa final'!$AB$113="Alta",'Mapa final'!$AD$113="Leve"),CONCATENATE("R38C",'Mapa final'!$R$113),"")</f>
        <v/>
      </c>
      <c r="L93" s="111" t="str">
        <f>IF(AND('Mapa final'!$AB$114="Alta",'Mapa final'!$AD$114="Leve"),CONCATENATE("R38C",'Mapa final'!$R$114),"")</f>
        <v/>
      </c>
      <c r="M93" s="49" t="str">
        <f>IF(AND('Mapa final'!$AB$112="Alta",'Mapa final'!$AD$112="Menor"),CONCATENATE("R38C",'Mapa final'!$R$112),"")</f>
        <v/>
      </c>
      <c r="N93" s="50" t="str">
        <f>IF(AND('Mapa final'!$AB$113="Alta",'Mapa final'!$AD$113="Menor"),CONCATENATE("R38C",'Mapa final'!$R$113),"")</f>
        <v/>
      </c>
      <c r="O93" s="111" t="str">
        <f>IF(AND('Mapa final'!$AB$114="Alta",'Mapa final'!$AD$114="Menor"),CONCATENATE("R38C",'Mapa final'!$R$114),"")</f>
        <v/>
      </c>
      <c r="P93" s="105" t="str">
        <f>IF(AND('Mapa final'!$AB$112="Alta",'Mapa final'!$AD$112="Moderado"),CONCATENATE("R38C",'Mapa final'!$R$112),"")</f>
        <v/>
      </c>
      <c r="Q93" s="42" t="str">
        <f>IF(AND('Mapa final'!$AB$113="Alta",'Mapa final'!$AD$113="Moderado"),CONCATENATE("R38C",'Mapa final'!$R$113),"")</f>
        <v/>
      </c>
      <c r="R93" s="106" t="str">
        <f>IF(AND('Mapa final'!$AB$114="Alta",'Mapa final'!$AD$114="Moderado"),CONCATENATE("R38C",'Mapa final'!$R$114),"")</f>
        <v/>
      </c>
      <c r="S93" s="105" t="str">
        <f>IF(AND('Mapa final'!$AB$112="Alta",'Mapa final'!$AD$112="Mayor"),CONCATENATE("R38C",'Mapa final'!$R$112),"")</f>
        <v/>
      </c>
      <c r="T93" s="42" t="str">
        <f>IF(AND('Mapa final'!$AB$113="Alta",'Mapa final'!$AD$113="Mayor"),CONCATENATE("R38C",'Mapa final'!$R$113),"")</f>
        <v/>
      </c>
      <c r="U93" s="106" t="str">
        <f>IF(AND('Mapa final'!$AB$114="Alta",'Mapa final'!$AD$114="Mayor"),CONCATENATE("R38C",'Mapa final'!$R$114),"")</f>
        <v/>
      </c>
      <c r="V93" s="43" t="str">
        <f>IF(AND('Mapa final'!$AB$112="Alta",'Mapa final'!$AD$112="Catastrófico"),CONCATENATE("R38C",'Mapa final'!$R$112),"")</f>
        <v/>
      </c>
      <c r="W93" s="44" t="str">
        <f>IF(AND('Mapa final'!$AB$113="Alta",'Mapa final'!$AD$113="Catastrófico"),CONCATENATE("R38C",'Mapa final'!$R$113),"")</f>
        <v/>
      </c>
      <c r="X93" s="100" t="str">
        <f>IF(AND('Mapa final'!$AB$114="Alta",'Mapa final'!$AD$114="Catastrófico"),CONCATENATE("R38C",'Mapa final'!$R$114),"")</f>
        <v/>
      </c>
      <c r="Y93" s="56"/>
      <c r="Z93" s="292"/>
      <c r="AA93" s="293"/>
      <c r="AB93" s="293"/>
      <c r="AC93" s="293"/>
      <c r="AD93" s="293"/>
      <c r="AE93" s="294"/>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row>
    <row r="94" spans="1:61" ht="15" customHeight="1" x14ac:dyDescent="0.35">
      <c r="A94" s="56"/>
      <c r="B94" s="307"/>
      <c r="C94" s="307"/>
      <c r="D94" s="308"/>
      <c r="E94" s="284"/>
      <c r="F94" s="297"/>
      <c r="G94" s="297"/>
      <c r="H94" s="297"/>
      <c r="I94" s="279"/>
      <c r="J94" s="49" t="str">
        <f>IF(AND('Mapa final'!$AB$115="Alta",'Mapa final'!$AD$115="Leve"),CONCATENATE("R39C",'Mapa final'!$R$115),"")</f>
        <v/>
      </c>
      <c r="K94" s="50" t="str">
        <f>IF(AND('Mapa final'!$AB$116="Alta",'Mapa final'!$AD$116="Leve"),CONCATENATE("R39C",'Mapa final'!$R$116),"")</f>
        <v/>
      </c>
      <c r="L94" s="111" t="str">
        <f>IF(AND('Mapa final'!$AB$117="Alta",'Mapa final'!$AD$117="Leve"),CONCATENATE("R39C",'Mapa final'!$R$117),"")</f>
        <v/>
      </c>
      <c r="M94" s="49" t="str">
        <f>IF(AND('Mapa final'!$AB$115="Alta",'Mapa final'!$AD$115="Menor"),CONCATENATE("R39C",'Mapa final'!$R$115),"")</f>
        <v/>
      </c>
      <c r="N94" s="50" t="str">
        <f>IF(AND('Mapa final'!$AB$116="Alta",'Mapa final'!$AD$116="Menor"),CONCATENATE("R39C",'Mapa final'!$R$116),"")</f>
        <v/>
      </c>
      <c r="O94" s="111" t="str">
        <f>IF(AND('Mapa final'!$AB$117="Alta",'Mapa final'!$AD$117="Menor"),CONCATENATE("R39C",'Mapa final'!$R$117),"")</f>
        <v/>
      </c>
      <c r="P94" s="105" t="str">
        <f>IF(AND('Mapa final'!$AB$115="Alta",'Mapa final'!$AD$115="Moderado"),CONCATENATE("R39C",'Mapa final'!$R$115),"")</f>
        <v/>
      </c>
      <c r="Q94" s="42" t="str">
        <f>IF(AND('Mapa final'!$AB$116="Alta",'Mapa final'!$AD$116="Moderado"),CONCATENATE("R39C",'Mapa final'!$R$116),"")</f>
        <v/>
      </c>
      <c r="R94" s="106" t="str">
        <f>IF(AND('Mapa final'!$AB$117="Alta",'Mapa final'!$AD$117="Moderado"),CONCATENATE("R39C",'Mapa final'!$R$117),"")</f>
        <v/>
      </c>
      <c r="S94" s="105" t="str">
        <f>IF(AND('Mapa final'!$AB$115="Alta",'Mapa final'!$AD$115="Mayor"),CONCATENATE("R39C",'Mapa final'!$R$115),"")</f>
        <v/>
      </c>
      <c r="T94" s="42" t="str">
        <f>IF(AND('Mapa final'!$AB$116="Alta",'Mapa final'!$AD$116="Mayor"),CONCATENATE("R39C",'Mapa final'!$R$116),"")</f>
        <v/>
      </c>
      <c r="U94" s="106" t="str">
        <f>IF(AND('Mapa final'!$AB$117="Alta",'Mapa final'!$AD$117="Mayor"),CONCATENATE("R39C",'Mapa final'!$R$117),"")</f>
        <v/>
      </c>
      <c r="V94" s="43" t="str">
        <f>IF(AND('Mapa final'!$AB$115="Alta",'Mapa final'!$AD$115="Catastrófico"),CONCATENATE("R39C",'Mapa final'!$R$115),"")</f>
        <v/>
      </c>
      <c r="W94" s="44" t="str">
        <f>IF(AND('Mapa final'!$AB$116="Alta",'Mapa final'!$AD$116="Catastrófico"),CONCATENATE("R39C",'Mapa final'!$R$116),"")</f>
        <v/>
      </c>
      <c r="X94" s="100" t="str">
        <f>IF(AND('Mapa final'!$AB$117="Alta",'Mapa final'!$AD$117="Catastrófico"),CONCATENATE("R39C",'Mapa final'!$R$117),"")</f>
        <v/>
      </c>
      <c r="Y94" s="56"/>
      <c r="Z94" s="292"/>
      <c r="AA94" s="293"/>
      <c r="AB94" s="293"/>
      <c r="AC94" s="293"/>
      <c r="AD94" s="293"/>
      <c r="AE94" s="294"/>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row>
    <row r="95" spans="1:61" ht="15" customHeight="1" x14ac:dyDescent="0.35">
      <c r="A95" s="56"/>
      <c r="B95" s="307"/>
      <c r="C95" s="307"/>
      <c r="D95" s="308"/>
      <c r="E95" s="284"/>
      <c r="F95" s="297"/>
      <c r="G95" s="297"/>
      <c r="H95" s="297"/>
      <c r="I95" s="279"/>
      <c r="J95" s="49" t="str">
        <f>IF(AND('Mapa final'!$AB$118="Alta",'Mapa final'!$AD$118="Leve"),CONCATENATE("R40C",'Mapa final'!$R$118),"")</f>
        <v/>
      </c>
      <c r="K95" s="50" t="str">
        <f>IF(AND('Mapa final'!$AB$119="Alta",'Mapa final'!$AD$119="Leve"),CONCATENATE("R40C",'Mapa final'!$R$119),"")</f>
        <v/>
      </c>
      <c r="L95" s="111" t="str">
        <f>IF(AND('Mapa final'!$AB$120="Alta",'Mapa final'!$AD$120="Leve"),CONCATENATE("R40C",'Mapa final'!$R$120),"")</f>
        <v/>
      </c>
      <c r="M95" s="49" t="str">
        <f>IF(AND('Mapa final'!$AB$118="Alta",'Mapa final'!$AD$118="Menor"),CONCATENATE("R40C",'Mapa final'!$R$118),"")</f>
        <v/>
      </c>
      <c r="N95" s="50" t="str">
        <f>IF(AND('Mapa final'!$AB$119="Alta",'Mapa final'!$AD$119="Menor"),CONCATENATE("R40C",'Mapa final'!$R$119),"")</f>
        <v/>
      </c>
      <c r="O95" s="111" t="str">
        <f>IF(AND('Mapa final'!$AB$120="Alta",'Mapa final'!$AD$120="Menor"),CONCATENATE("R40C",'Mapa final'!$R$120),"")</f>
        <v/>
      </c>
      <c r="P95" s="105" t="str">
        <f>IF(AND('Mapa final'!$AB$118="Alta",'Mapa final'!$AD$118="Moderado"),CONCATENATE("R40C",'Mapa final'!$R$118),"")</f>
        <v/>
      </c>
      <c r="Q95" s="42" t="str">
        <f>IF(AND('Mapa final'!$AB$119="Alta",'Mapa final'!$AD$119="Moderado"),CONCATENATE("R40C",'Mapa final'!$R$119),"")</f>
        <v/>
      </c>
      <c r="R95" s="106" t="str">
        <f>IF(AND('Mapa final'!$AB$120="Alta",'Mapa final'!$AD$120="Moderado"),CONCATENATE("R40C",'Mapa final'!$R$120),"")</f>
        <v/>
      </c>
      <c r="S95" s="105" t="str">
        <f>IF(AND('Mapa final'!$AB$118="Alta",'Mapa final'!$AD$118="Mayor"),CONCATENATE("R40C",'Mapa final'!$R$118),"")</f>
        <v/>
      </c>
      <c r="T95" s="42" t="str">
        <f>IF(AND('Mapa final'!$AB$119="Alta",'Mapa final'!$AD$119="Mayor"),CONCATENATE("R40C",'Mapa final'!$R$119),"")</f>
        <v/>
      </c>
      <c r="U95" s="106" t="str">
        <f>IF(AND('Mapa final'!$AB$120="Alta",'Mapa final'!$AD$120="Mayor"),CONCATENATE("R40C",'Mapa final'!$R$120),"")</f>
        <v/>
      </c>
      <c r="V95" s="43" t="str">
        <f>IF(AND('Mapa final'!$AB$118="Alta",'Mapa final'!$AD$118="Catastrófico"),CONCATENATE("R40C",'Mapa final'!$R$118),"")</f>
        <v/>
      </c>
      <c r="W95" s="44" t="str">
        <f>IF(AND('Mapa final'!$AB$119="Alta",'Mapa final'!$AD$119="Catastrófico"),CONCATENATE("R40C",'Mapa final'!$R$119),"")</f>
        <v/>
      </c>
      <c r="X95" s="100" t="str">
        <f>IF(AND('Mapa final'!$AB$120="Alta",'Mapa final'!$AD$120="Catastrófico"),CONCATENATE("R40C",'Mapa final'!$R$120),"")</f>
        <v/>
      </c>
      <c r="Y95" s="56"/>
      <c r="Z95" s="292"/>
      <c r="AA95" s="293"/>
      <c r="AB95" s="293"/>
      <c r="AC95" s="293"/>
      <c r="AD95" s="293"/>
      <c r="AE95" s="294"/>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row>
    <row r="96" spans="1:61" ht="15" customHeight="1" x14ac:dyDescent="0.35">
      <c r="A96" s="56"/>
      <c r="B96" s="307"/>
      <c r="C96" s="307"/>
      <c r="D96" s="308"/>
      <c r="E96" s="284"/>
      <c r="F96" s="297"/>
      <c r="G96" s="297"/>
      <c r="H96" s="297"/>
      <c r="I96" s="279"/>
      <c r="J96" s="49" t="str">
        <f>IF(AND('Mapa final'!$AB$121="Alta",'Mapa final'!$AD$121="Leve"),CONCATENATE("R41C",'Mapa final'!$R$121),"")</f>
        <v/>
      </c>
      <c r="K96" s="50" t="str">
        <f>IF(AND('Mapa final'!$AB$122="Alta",'Mapa final'!$AD$122="Leve"),CONCATENATE("R41C",'Mapa final'!$R$122),"")</f>
        <v/>
      </c>
      <c r="L96" s="111" t="str">
        <f>IF(AND('Mapa final'!$AB$123="Alta",'Mapa final'!$AD$123="Leve"),CONCATENATE("R41C",'Mapa final'!$R$123),"")</f>
        <v/>
      </c>
      <c r="M96" s="49" t="str">
        <f>IF(AND('Mapa final'!$AB$121="Alta",'Mapa final'!$AD$121="Menor"),CONCATENATE("R41C",'Mapa final'!$R$121),"")</f>
        <v/>
      </c>
      <c r="N96" s="50" t="str">
        <f>IF(AND('Mapa final'!$AB$122="Alta",'Mapa final'!$AD$122="Menor"),CONCATENATE("R41C",'Mapa final'!$R$122),"")</f>
        <v/>
      </c>
      <c r="O96" s="111" t="str">
        <f>IF(AND('Mapa final'!$AB$123="Alta",'Mapa final'!$AD$123="Menor"),CONCATENATE("R41C",'Mapa final'!$R$123),"")</f>
        <v/>
      </c>
      <c r="P96" s="105" t="str">
        <f>IF(AND('Mapa final'!$AB$121="Alta",'Mapa final'!$AD$121="Moderado"),CONCATENATE("R41C",'Mapa final'!$R$121),"")</f>
        <v/>
      </c>
      <c r="Q96" s="42" t="str">
        <f>IF(AND('Mapa final'!$AB$122="Alta",'Mapa final'!$AD$122="Moderado"),CONCATENATE("R41C",'Mapa final'!$R$122),"")</f>
        <v/>
      </c>
      <c r="R96" s="106" t="str">
        <f>IF(AND('Mapa final'!$AB$123="Alta",'Mapa final'!$AD$123="Moderado"),CONCATENATE("R41C",'Mapa final'!$R$123),"")</f>
        <v/>
      </c>
      <c r="S96" s="105" t="str">
        <f>IF(AND('Mapa final'!$AB$121="Alta",'Mapa final'!$AD$121="Mayor"),CONCATENATE("R41C",'Mapa final'!$R$121),"")</f>
        <v/>
      </c>
      <c r="T96" s="42" t="str">
        <f>IF(AND('Mapa final'!$AB$122="Alta",'Mapa final'!$AD$122="Mayor"),CONCATENATE("R41C",'Mapa final'!$R$122),"")</f>
        <v/>
      </c>
      <c r="U96" s="106" t="str">
        <f>IF(AND('Mapa final'!$AB$123="Alta",'Mapa final'!$AD$123="Mayor"),CONCATENATE("R41C",'Mapa final'!$R$123),"")</f>
        <v/>
      </c>
      <c r="V96" s="43" t="str">
        <f>IF(AND('Mapa final'!$AB$121="Alta",'Mapa final'!$AD$121="Catastrófico"),CONCATENATE("R41C",'Mapa final'!$R$121),"")</f>
        <v/>
      </c>
      <c r="W96" s="44" t="str">
        <f>IF(AND('Mapa final'!$AB$122="Alta",'Mapa final'!$AD$122="Catastrófico"),CONCATENATE("R41C",'Mapa final'!$R$122),"")</f>
        <v/>
      </c>
      <c r="X96" s="100" t="str">
        <f>IF(AND('Mapa final'!$AB$123="Alta",'Mapa final'!$AD$123="Catastrófico"),CONCATENATE("R41C",'Mapa final'!$R$123),"")</f>
        <v/>
      </c>
      <c r="Y96" s="56"/>
      <c r="Z96" s="292"/>
      <c r="AA96" s="293"/>
      <c r="AB96" s="293"/>
      <c r="AC96" s="293"/>
      <c r="AD96" s="293"/>
      <c r="AE96" s="294"/>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row>
    <row r="97" spans="1:61" ht="15" customHeight="1" x14ac:dyDescent="0.35">
      <c r="A97" s="56"/>
      <c r="B97" s="307"/>
      <c r="C97" s="307"/>
      <c r="D97" s="308"/>
      <c r="E97" s="284"/>
      <c r="F97" s="297"/>
      <c r="G97" s="297"/>
      <c r="H97" s="297"/>
      <c r="I97" s="279"/>
      <c r="J97" s="49" t="str">
        <f>IF(AND('Mapa final'!$AB$124="Alta",'Mapa final'!$AD$124="Leve"),CONCATENATE("R42C",'Mapa final'!$R$124),"")</f>
        <v/>
      </c>
      <c r="K97" s="50" t="str">
        <f>IF(AND('Mapa final'!$AB$125="Alta",'Mapa final'!$AD$125="Leve"),CONCATENATE("R42C",'Mapa final'!$R$125),"")</f>
        <v/>
      </c>
      <c r="L97" s="111" t="str">
        <f>IF(AND('Mapa final'!$AB$126="Alta",'Mapa final'!$AD$126="Leve"),CONCATENATE("R42C",'Mapa final'!$R$126),"")</f>
        <v/>
      </c>
      <c r="M97" s="49" t="str">
        <f>IF(AND('Mapa final'!$AB$124="Alta",'Mapa final'!$AD$124="Menor"),CONCATENATE("R42C",'Mapa final'!$R$124),"")</f>
        <v/>
      </c>
      <c r="N97" s="50" t="str">
        <f>IF(AND('Mapa final'!$AB$125="Alta",'Mapa final'!$AD$125="Menor"),CONCATENATE("R42C",'Mapa final'!$R$125),"")</f>
        <v/>
      </c>
      <c r="O97" s="111" t="str">
        <f>IF(AND('Mapa final'!$AB$126="Alta",'Mapa final'!$AD$126="Menor"),CONCATENATE("R42C",'Mapa final'!$R$126),"")</f>
        <v/>
      </c>
      <c r="P97" s="105" t="str">
        <f>IF(AND('Mapa final'!$AB$124="Alta",'Mapa final'!$AD$124="Moderado"),CONCATENATE("R42C",'Mapa final'!$R$124),"")</f>
        <v/>
      </c>
      <c r="Q97" s="42" t="str">
        <f>IF(AND('Mapa final'!$AB$125="Alta",'Mapa final'!$AD$125="Moderado"),CONCATENATE("R42C",'Mapa final'!$R$125),"")</f>
        <v/>
      </c>
      <c r="R97" s="106" t="str">
        <f>IF(AND('Mapa final'!$AB$126="Alta",'Mapa final'!$AD$126="Moderado"),CONCATENATE("R42C",'Mapa final'!$R$126),"")</f>
        <v/>
      </c>
      <c r="S97" s="105" t="str">
        <f>IF(AND('Mapa final'!$AB$124="Alta",'Mapa final'!$AD$124="Mayor"),CONCATENATE("R42C",'Mapa final'!$R$124),"")</f>
        <v/>
      </c>
      <c r="T97" s="42" t="str">
        <f>IF(AND('Mapa final'!$AB$125="Alta",'Mapa final'!$AD$125="Mayor"),CONCATENATE("R42C",'Mapa final'!$R$125),"")</f>
        <v/>
      </c>
      <c r="U97" s="106" t="str">
        <f>IF(AND('Mapa final'!$AB$126="Alta",'Mapa final'!$AD$126="Mayor"),CONCATENATE("R42C",'Mapa final'!$R$126),"")</f>
        <v/>
      </c>
      <c r="V97" s="43" t="str">
        <f>IF(AND('Mapa final'!$AB$124="Alta",'Mapa final'!$AD$124="Catastrófico"),CONCATENATE("R42C",'Mapa final'!$R$124),"")</f>
        <v/>
      </c>
      <c r="W97" s="44" t="str">
        <f>IF(AND('Mapa final'!$AB$125="Alta",'Mapa final'!$AD$125="Catastrófico"),CONCATENATE("R42C",'Mapa final'!$R$125),"")</f>
        <v/>
      </c>
      <c r="X97" s="100" t="str">
        <f>IF(AND('Mapa final'!$AB$126="Alta",'Mapa final'!$AD$126="Catastrófico"),CONCATENATE("R42C",'Mapa final'!$R$126),"")</f>
        <v/>
      </c>
      <c r="Y97" s="56"/>
      <c r="Z97" s="292"/>
      <c r="AA97" s="293"/>
      <c r="AB97" s="293"/>
      <c r="AC97" s="293"/>
      <c r="AD97" s="293"/>
      <c r="AE97" s="294"/>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row>
    <row r="98" spans="1:61" ht="15" customHeight="1" x14ac:dyDescent="0.35">
      <c r="A98" s="56"/>
      <c r="B98" s="307"/>
      <c r="C98" s="307"/>
      <c r="D98" s="308"/>
      <c r="E98" s="284"/>
      <c r="F98" s="297"/>
      <c r="G98" s="297"/>
      <c r="H98" s="297"/>
      <c r="I98" s="279"/>
      <c r="J98" s="49" t="str">
        <f>IF(AND('Mapa final'!$AB$127="Alta",'Mapa final'!$AD$127="Leve"),CONCATENATE("R43C",'Mapa final'!$R$127),"")</f>
        <v/>
      </c>
      <c r="K98" s="50" t="str">
        <f>IF(AND('Mapa final'!$AB$128="Alta",'Mapa final'!$AD$128="Leve"),CONCATENATE("R43C",'Mapa final'!$R$128),"")</f>
        <v/>
      </c>
      <c r="L98" s="111" t="str">
        <f>IF(AND('Mapa final'!$AB$129="Alta",'Mapa final'!$AD$129="Leve"),CONCATENATE("R43C",'Mapa final'!$R$129),"")</f>
        <v/>
      </c>
      <c r="M98" s="49" t="str">
        <f>IF(AND('Mapa final'!$AB$127="Alta",'Mapa final'!$AD$127="Menor"),CONCATENATE("R43C",'Mapa final'!$R$127),"")</f>
        <v/>
      </c>
      <c r="N98" s="50" t="str">
        <f>IF(AND('Mapa final'!$AB$128="Alta",'Mapa final'!$AD$128="Menor"),CONCATENATE("R43C",'Mapa final'!$R$128),"")</f>
        <v/>
      </c>
      <c r="O98" s="111" t="str">
        <f>IF(AND('Mapa final'!$AB$129="Alta",'Mapa final'!$AD$129="Menor"),CONCATENATE("R43C",'Mapa final'!$R$129),"")</f>
        <v/>
      </c>
      <c r="P98" s="105" t="str">
        <f>IF(AND('Mapa final'!$AB$127="Alta",'Mapa final'!$AD$127="Moderado"),CONCATENATE("R43C",'Mapa final'!$R$127),"")</f>
        <v/>
      </c>
      <c r="Q98" s="42" t="str">
        <f>IF(AND('Mapa final'!$AB$128="Alta",'Mapa final'!$AD$128="Moderado"),CONCATENATE("R43C",'Mapa final'!$R$128),"")</f>
        <v/>
      </c>
      <c r="R98" s="106" t="str">
        <f>IF(AND('Mapa final'!$AB$129="Alta",'Mapa final'!$AD$129="Moderado"),CONCATENATE("R43C",'Mapa final'!$R$129),"")</f>
        <v/>
      </c>
      <c r="S98" s="105" t="str">
        <f>IF(AND('Mapa final'!$AB$127="Alta",'Mapa final'!$AD$127="Mayor"),CONCATENATE("R43C",'Mapa final'!$R$127),"")</f>
        <v/>
      </c>
      <c r="T98" s="42" t="str">
        <f>IF(AND('Mapa final'!$AB$128="Alta",'Mapa final'!$AD$128="Mayor"),CONCATENATE("R43C",'Mapa final'!$R$128),"")</f>
        <v/>
      </c>
      <c r="U98" s="106" t="str">
        <f>IF(AND('Mapa final'!$AB$129="Alta",'Mapa final'!$AD$129="Mayor"),CONCATENATE("R43C",'Mapa final'!$R$129),"")</f>
        <v/>
      </c>
      <c r="V98" s="43" t="str">
        <f>IF(AND('Mapa final'!$AB$127="Alta",'Mapa final'!$AD$127="Catastrófico"),CONCATENATE("R43C",'Mapa final'!$R$127),"")</f>
        <v/>
      </c>
      <c r="W98" s="44" t="str">
        <f>IF(AND('Mapa final'!$AB$128="Alta",'Mapa final'!$AD$128="Catastrófico"),CONCATENATE("R43C",'Mapa final'!$R$128),"")</f>
        <v/>
      </c>
      <c r="X98" s="100" t="str">
        <f>IF(AND('Mapa final'!$AB$129="Alta",'Mapa final'!$AD$129="Catastrófico"),CONCATENATE("R43C",'Mapa final'!$R$129),"")</f>
        <v/>
      </c>
      <c r="Y98" s="56"/>
      <c r="Z98" s="292"/>
      <c r="AA98" s="293"/>
      <c r="AB98" s="293"/>
      <c r="AC98" s="293"/>
      <c r="AD98" s="293"/>
      <c r="AE98" s="294"/>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row>
    <row r="99" spans="1:61" ht="15" customHeight="1" x14ac:dyDescent="0.35">
      <c r="A99" s="56"/>
      <c r="B99" s="307"/>
      <c r="C99" s="307"/>
      <c r="D99" s="308"/>
      <c r="E99" s="284"/>
      <c r="F99" s="297"/>
      <c r="G99" s="297"/>
      <c r="H99" s="297"/>
      <c r="I99" s="279"/>
      <c r="J99" s="49" t="str">
        <f>IF(AND('Mapa final'!$AB$130="Alta",'Mapa final'!$AD$130="Leve"),CONCATENATE("R44C",'Mapa final'!$R$130),"")</f>
        <v/>
      </c>
      <c r="K99" s="50" t="str">
        <f>IF(AND('Mapa final'!$AB$131="Alta",'Mapa final'!$AD$131="Leve"),CONCATENATE("R44C",'Mapa final'!$R$131),"")</f>
        <v/>
      </c>
      <c r="L99" s="111" t="str">
        <f>IF(AND('Mapa final'!$AB$132="Alta",'Mapa final'!$AD$132="Leve"),CONCATENATE("R44C",'Mapa final'!$R$132),"")</f>
        <v/>
      </c>
      <c r="M99" s="49" t="str">
        <f>IF(AND('Mapa final'!$AB$130="Alta",'Mapa final'!$AD$130="Menor"),CONCATENATE("R44C",'Mapa final'!$R$130),"")</f>
        <v/>
      </c>
      <c r="N99" s="50" t="str">
        <f>IF(AND('Mapa final'!$AB$131="Alta",'Mapa final'!$AD$131="Menor"),CONCATENATE("R44C",'Mapa final'!$R$131),"")</f>
        <v/>
      </c>
      <c r="O99" s="111" t="str">
        <f>IF(AND('Mapa final'!$AB$132="Alta",'Mapa final'!$AD$132="Menor"),CONCATENATE("R44C",'Mapa final'!$R$132),"")</f>
        <v/>
      </c>
      <c r="P99" s="105" t="str">
        <f>IF(AND('Mapa final'!$AB$130="Alta",'Mapa final'!$AD$130="Moderado"),CONCATENATE("R44C",'Mapa final'!$R$130),"")</f>
        <v/>
      </c>
      <c r="Q99" s="42" t="str">
        <f>IF(AND('Mapa final'!$AB$131="Alta",'Mapa final'!$AD$131="Moderado"),CONCATENATE("R44C",'Mapa final'!$R$131),"")</f>
        <v/>
      </c>
      <c r="R99" s="106" t="str">
        <f>IF(AND('Mapa final'!$AB$132="Alta",'Mapa final'!$AD$132="Moderado"),CONCATENATE("R44C",'Mapa final'!$R$132),"")</f>
        <v/>
      </c>
      <c r="S99" s="105" t="str">
        <f>IF(AND('Mapa final'!$AB$130="Alta",'Mapa final'!$AD$130="Mayor"),CONCATENATE("R44C",'Mapa final'!$R$130),"")</f>
        <v/>
      </c>
      <c r="T99" s="42" t="str">
        <f>IF(AND('Mapa final'!$AB$131="Alta",'Mapa final'!$AD$131="Mayor"),CONCATENATE("R44C",'Mapa final'!$R$131),"")</f>
        <v/>
      </c>
      <c r="U99" s="106" t="str">
        <f>IF(AND('Mapa final'!$AB$132="Alta",'Mapa final'!$AD$132="Mayor"),CONCATENATE("R44C",'Mapa final'!$R$132),"")</f>
        <v/>
      </c>
      <c r="V99" s="43" t="str">
        <f>IF(AND('Mapa final'!$AB$130="Alta",'Mapa final'!$AD$130="Catastrófico"),CONCATENATE("R44C",'Mapa final'!$R$130),"")</f>
        <v/>
      </c>
      <c r="W99" s="44" t="str">
        <f>IF(AND('Mapa final'!$AB$131="Alta",'Mapa final'!$AD$131="Catastrófico"),CONCATENATE("R44C",'Mapa final'!$R$131),"")</f>
        <v/>
      </c>
      <c r="X99" s="100" t="str">
        <f>IF(AND('Mapa final'!$AB$132="Alta",'Mapa final'!$AD$132="Catastrófico"),CONCATENATE("R44C",'Mapa final'!$R$132),"")</f>
        <v/>
      </c>
      <c r="Y99" s="56"/>
      <c r="Z99" s="292"/>
      <c r="AA99" s="293"/>
      <c r="AB99" s="293"/>
      <c r="AC99" s="293"/>
      <c r="AD99" s="293"/>
      <c r="AE99" s="294"/>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row>
    <row r="100" spans="1:61" ht="15" customHeight="1" x14ac:dyDescent="0.35">
      <c r="A100" s="56"/>
      <c r="B100" s="307"/>
      <c r="C100" s="307"/>
      <c r="D100" s="308"/>
      <c r="E100" s="284"/>
      <c r="F100" s="297"/>
      <c r="G100" s="297"/>
      <c r="H100" s="297"/>
      <c r="I100" s="279"/>
      <c r="J100" s="49" t="str">
        <f>IF(AND('Mapa final'!$AB$133="Alta",'Mapa final'!$AD$133="Leve"),CONCATENATE("R45C",'Mapa final'!$R$133),"")</f>
        <v/>
      </c>
      <c r="K100" s="50" t="str">
        <f>IF(AND('Mapa final'!$AB$134="Alta",'Mapa final'!$AD$134="Leve"),CONCATENATE("R45C",'Mapa final'!$R$134),"")</f>
        <v/>
      </c>
      <c r="L100" s="111" t="str">
        <f>IF(AND('Mapa final'!$AB$135="Alta",'Mapa final'!$AD$135="Leve"),CONCATENATE("R45C",'Mapa final'!$R$135),"")</f>
        <v/>
      </c>
      <c r="M100" s="49" t="str">
        <f>IF(AND('Mapa final'!$AB$133="Alta",'Mapa final'!$AD$133="Menor"),CONCATENATE("R45C",'Mapa final'!$R$133),"")</f>
        <v/>
      </c>
      <c r="N100" s="50" t="str">
        <f>IF(AND('Mapa final'!$AB$134="Alta",'Mapa final'!$AD$134="Menor"),CONCATENATE("R45C",'Mapa final'!$R$134),"")</f>
        <v/>
      </c>
      <c r="O100" s="111" t="str">
        <f>IF(AND('Mapa final'!$AB$135="Alta",'Mapa final'!$AD$135="Menor"),CONCATENATE("R45C",'Mapa final'!$R$135),"")</f>
        <v/>
      </c>
      <c r="P100" s="105" t="str">
        <f>IF(AND('Mapa final'!$AB$133="Alta",'Mapa final'!$AD$133="Moderado"),CONCATENATE("R45C",'Mapa final'!$R$133),"")</f>
        <v/>
      </c>
      <c r="Q100" s="42" t="str">
        <f>IF(AND('Mapa final'!$AB$134="Alta",'Mapa final'!$AD$134="Moderado"),CONCATENATE("R45C",'Mapa final'!$R$134),"")</f>
        <v/>
      </c>
      <c r="R100" s="106" t="str">
        <f>IF(AND('Mapa final'!$AB$135="Alta",'Mapa final'!$AD$135="Moderado"),CONCATENATE("R45C",'Mapa final'!$R$135),"")</f>
        <v/>
      </c>
      <c r="S100" s="105" t="str">
        <f>IF(AND('Mapa final'!$AB$133="Alta",'Mapa final'!$AD$133="Mayor"),CONCATENATE("R45C",'Mapa final'!$R$133),"")</f>
        <v/>
      </c>
      <c r="T100" s="42" t="str">
        <f>IF(AND('Mapa final'!$AB$134="Alta",'Mapa final'!$AD$134="Mayor"),CONCATENATE("R45C",'Mapa final'!$R$134),"")</f>
        <v/>
      </c>
      <c r="U100" s="106" t="str">
        <f>IF(AND('Mapa final'!$AB$135="Alta",'Mapa final'!$AD$135="Mayor"),CONCATENATE("R45C",'Mapa final'!$R$135),"")</f>
        <v/>
      </c>
      <c r="V100" s="43" t="str">
        <f>IF(AND('Mapa final'!$AB$133="Alta",'Mapa final'!$AD$133="Catastrófico"),CONCATENATE("R45C",'Mapa final'!$R$133),"")</f>
        <v/>
      </c>
      <c r="W100" s="44" t="str">
        <f>IF(AND('Mapa final'!$AB$134="Alta",'Mapa final'!$AD$134="Catastrófico"),CONCATENATE("R45C",'Mapa final'!$R$134),"")</f>
        <v/>
      </c>
      <c r="X100" s="100" t="str">
        <f>IF(AND('Mapa final'!$AB$135="Alta",'Mapa final'!$AD$135="Catastrófico"),CONCATENATE("R45C",'Mapa final'!$R$135),"")</f>
        <v/>
      </c>
      <c r="Y100" s="56"/>
      <c r="Z100" s="292"/>
      <c r="AA100" s="293"/>
      <c r="AB100" s="293"/>
      <c r="AC100" s="293"/>
      <c r="AD100" s="293"/>
      <c r="AE100" s="294"/>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row>
    <row r="101" spans="1:61" ht="15" customHeight="1" x14ac:dyDescent="0.35">
      <c r="A101" s="56"/>
      <c r="B101" s="307"/>
      <c r="C101" s="307"/>
      <c r="D101" s="308"/>
      <c r="E101" s="284"/>
      <c r="F101" s="297"/>
      <c r="G101" s="297"/>
      <c r="H101" s="297"/>
      <c r="I101" s="279"/>
      <c r="J101" s="49" t="str">
        <f>IF(AND('Mapa final'!$AB$136="Alta",'Mapa final'!$AD$136="Leve"),CONCATENATE("R46C",'Mapa final'!$R$136),"")</f>
        <v/>
      </c>
      <c r="K101" s="50" t="str">
        <f>IF(AND('Mapa final'!$AB$137="Alta",'Mapa final'!$AD$137="Leve"),CONCATENATE("R46C",'Mapa final'!$R$137),"")</f>
        <v/>
      </c>
      <c r="L101" s="111" t="str">
        <f>IF(AND('Mapa final'!$AB$138="Alta",'Mapa final'!$AD$138="Leve"),CONCATENATE("R46C",'Mapa final'!$R$138),"")</f>
        <v/>
      </c>
      <c r="M101" s="49" t="str">
        <f>IF(AND('Mapa final'!$AB$136="Alta",'Mapa final'!$AD$136="Menor"),CONCATENATE("R46C",'Mapa final'!$R$136),"")</f>
        <v/>
      </c>
      <c r="N101" s="50" t="str">
        <f>IF(AND('Mapa final'!$AB$137="Alta",'Mapa final'!$AD$137="Menor"),CONCATENATE("R46C",'Mapa final'!$R$137),"")</f>
        <v/>
      </c>
      <c r="O101" s="111" t="str">
        <f>IF(AND('Mapa final'!$AB$138="Alta",'Mapa final'!$AD$138="Menor"),CONCATENATE("R46C",'Mapa final'!$R$138),"")</f>
        <v/>
      </c>
      <c r="P101" s="105" t="str">
        <f>IF(AND('Mapa final'!$AB$136="Alta",'Mapa final'!$AD$136="Moderado"),CONCATENATE("R46C",'Mapa final'!$R$136),"")</f>
        <v/>
      </c>
      <c r="Q101" s="42" t="str">
        <f>IF(AND('Mapa final'!$AB$137="Alta",'Mapa final'!$AD$137="Moderado"),CONCATENATE("R46C",'Mapa final'!$R$137),"")</f>
        <v/>
      </c>
      <c r="R101" s="106" t="str">
        <f>IF(AND('Mapa final'!$AB$138="Alta",'Mapa final'!$AD$138="Moderado"),CONCATENATE("R46C",'Mapa final'!$R$138),"")</f>
        <v/>
      </c>
      <c r="S101" s="105" t="str">
        <f>IF(AND('Mapa final'!$AB$136="Alta",'Mapa final'!$AD$136="Mayor"),CONCATENATE("R46C",'Mapa final'!$R$136),"")</f>
        <v/>
      </c>
      <c r="T101" s="42" t="str">
        <f>IF(AND('Mapa final'!$AB$137="Alta",'Mapa final'!$AD$137="Mayor"),CONCATENATE("R46C",'Mapa final'!$R$137),"")</f>
        <v/>
      </c>
      <c r="U101" s="106" t="str">
        <f>IF(AND('Mapa final'!$AB$138="Alta",'Mapa final'!$AD$138="Mayor"),CONCATENATE("R46C",'Mapa final'!$R$138),"")</f>
        <v/>
      </c>
      <c r="V101" s="43" t="str">
        <f>IF(AND('Mapa final'!$AB$136="Alta",'Mapa final'!$AD$136="Catastrófico"),CONCATENATE("R46C",'Mapa final'!$R$136),"")</f>
        <v/>
      </c>
      <c r="W101" s="44" t="str">
        <f>IF(AND('Mapa final'!$AB$137="Alta",'Mapa final'!$AD$137="Catastrófico"),CONCATENATE("R46C",'Mapa final'!$R$137),"")</f>
        <v/>
      </c>
      <c r="X101" s="100" t="str">
        <f>IF(AND('Mapa final'!$AB$138="Alta",'Mapa final'!$AD$138="Catastrófico"),CONCATENATE("R46C",'Mapa final'!$R$138),"")</f>
        <v/>
      </c>
      <c r="Y101" s="56"/>
      <c r="Z101" s="292"/>
      <c r="AA101" s="293"/>
      <c r="AB101" s="293"/>
      <c r="AC101" s="293"/>
      <c r="AD101" s="293"/>
      <c r="AE101" s="294"/>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row>
    <row r="102" spans="1:61" ht="15" customHeight="1" x14ac:dyDescent="0.35">
      <c r="A102" s="56"/>
      <c r="B102" s="307"/>
      <c r="C102" s="307"/>
      <c r="D102" s="308"/>
      <c r="E102" s="284"/>
      <c r="F102" s="297"/>
      <c r="G102" s="297"/>
      <c r="H102" s="297"/>
      <c r="I102" s="279"/>
      <c r="J102" s="49" t="str">
        <f>IF(AND('Mapa final'!$AB$139="Alta",'Mapa final'!$AD$139="Leve"),CONCATENATE("R47C",'Mapa final'!$R$139),"")</f>
        <v/>
      </c>
      <c r="K102" s="50" t="str">
        <f>IF(AND('Mapa final'!$AB$140="Alta",'Mapa final'!$AD$140="Leve"),CONCATENATE("R47C",'Mapa final'!$R$140),"")</f>
        <v/>
      </c>
      <c r="L102" s="111" t="str">
        <f>IF(AND('Mapa final'!$AB$141="Alta",'Mapa final'!$AD$141="Leve"),CONCATENATE("R47C",'Mapa final'!$R$141),"")</f>
        <v/>
      </c>
      <c r="M102" s="49" t="str">
        <f>IF(AND('Mapa final'!$AB$139="Alta",'Mapa final'!$AD$139="Menor"),CONCATENATE("R47C",'Mapa final'!$R$139),"")</f>
        <v/>
      </c>
      <c r="N102" s="50" t="str">
        <f>IF(AND('Mapa final'!$AB$140="Alta",'Mapa final'!$AD$140="Menor"),CONCATENATE("R47C",'Mapa final'!$R$140),"")</f>
        <v/>
      </c>
      <c r="O102" s="111" t="str">
        <f>IF(AND('Mapa final'!$AB$141="Alta",'Mapa final'!$AD$141="Menor"),CONCATENATE("R47C",'Mapa final'!$R$141),"")</f>
        <v/>
      </c>
      <c r="P102" s="105" t="str">
        <f>IF(AND('Mapa final'!$AB$139="Alta",'Mapa final'!$AD$139="Moderado"),CONCATENATE("R47C",'Mapa final'!$R$139),"")</f>
        <v/>
      </c>
      <c r="Q102" s="42" t="str">
        <f>IF(AND('Mapa final'!$AB$140="Alta",'Mapa final'!$AD$140="Moderado"),CONCATENATE("R47C",'Mapa final'!$R$140),"")</f>
        <v/>
      </c>
      <c r="R102" s="106" t="str">
        <f>IF(AND('Mapa final'!$AB$141="Alta",'Mapa final'!$AD$141="Moderado"),CONCATENATE("R47C",'Mapa final'!$R$141),"")</f>
        <v/>
      </c>
      <c r="S102" s="105" t="str">
        <f>IF(AND('Mapa final'!$AB$139="Alta",'Mapa final'!$AD$139="Mayor"),CONCATENATE("R47C",'Mapa final'!$R$139),"")</f>
        <v/>
      </c>
      <c r="T102" s="42" t="str">
        <f>IF(AND('Mapa final'!$AB$140="Alta",'Mapa final'!$AD$140="Mayor"),CONCATENATE("R47C",'Mapa final'!$R$140),"")</f>
        <v/>
      </c>
      <c r="U102" s="106" t="str">
        <f>IF(AND('Mapa final'!$AB$141="Alta",'Mapa final'!$AD$141="Mayor"),CONCATENATE("R47C",'Mapa final'!$R$141),"")</f>
        <v/>
      </c>
      <c r="V102" s="43" t="str">
        <f>IF(AND('Mapa final'!$AB$139="Alta",'Mapa final'!$AD$139="Catastrófico"),CONCATENATE("R47C",'Mapa final'!$R$139),"")</f>
        <v/>
      </c>
      <c r="W102" s="44" t="str">
        <f>IF(AND('Mapa final'!$AB$140="Alta",'Mapa final'!$AD$140="Catastrófico"),CONCATENATE("R47C",'Mapa final'!$R$140),"")</f>
        <v/>
      </c>
      <c r="X102" s="100" t="str">
        <f>IF(AND('Mapa final'!$AB$141="Alta",'Mapa final'!$AD$141="Catastrófico"),CONCATENATE("R47C",'Mapa final'!$R$141),"")</f>
        <v/>
      </c>
      <c r="Y102" s="56"/>
      <c r="Z102" s="292"/>
      <c r="AA102" s="293"/>
      <c r="AB102" s="293"/>
      <c r="AC102" s="293"/>
      <c r="AD102" s="293"/>
      <c r="AE102" s="294"/>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row>
    <row r="103" spans="1:61" ht="15" customHeight="1" x14ac:dyDescent="0.35">
      <c r="A103" s="56"/>
      <c r="B103" s="307"/>
      <c r="C103" s="307"/>
      <c r="D103" s="308"/>
      <c r="E103" s="284"/>
      <c r="F103" s="297"/>
      <c r="G103" s="297"/>
      <c r="H103" s="297"/>
      <c r="I103" s="279"/>
      <c r="J103" s="49" t="str">
        <f>IF(AND('Mapa final'!$AB$142="Alta",'Mapa final'!$AD$142="Leve"),CONCATENATE("R48C",'Mapa final'!$R$142),"")</f>
        <v/>
      </c>
      <c r="K103" s="50" t="str">
        <f>IF(AND('Mapa final'!$AB$143="Alta",'Mapa final'!$AD$143="Leve"),CONCATENATE("R48C",'Mapa final'!$R$143),"")</f>
        <v/>
      </c>
      <c r="L103" s="111" t="str">
        <f>IF(AND('Mapa final'!$AB$144="Alta",'Mapa final'!$AD$144="Leve"),CONCATENATE("R48C",'Mapa final'!$R$144),"")</f>
        <v/>
      </c>
      <c r="M103" s="49" t="str">
        <f>IF(AND('Mapa final'!$AB$142="Alta",'Mapa final'!$AD$142="Menor"),CONCATENATE("R48C",'Mapa final'!$R$142),"")</f>
        <v/>
      </c>
      <c r="N103" s="50" t="str">
        <f>IF(AND('Mapa final'!$AB$143="Alta",'Mapa final'!$AD$143="Menor"),CONCATENATE("R48C",'Mapa final'!$R$143),"")</f>
        <v/>
      </c>
      <c r="O103" s="111" t="str">
        <f>IF(AND('Mapa final'!$AB$144="Alta",'Mapa final'!$AD$144="Menor"),CONCATENATE("R48C",'Mapa final'!$R$144),"")</f>
        <v/>
      </c>
      <c r="P103" s="105" t="str">
        <f>IF(AND('Mapa final'!$AB$142="Alta",'Mapa final'!$AD$142="Moderado"),CONCATENATE("R48C",'Mapa final'!$R$142),"")</f>
        <v/>
      </c>
      <c r="Q103" s="42" t="str">
        <f>IF(AND('Mapa final'!$AB$143="Alta",'Mapa final'!$AD$143="Moderado"),CONCATENATE("R48C",'Mapa final'!$R$143),"")</f>
        <v/>
      </c>
      <c r="R103" s="106" t="str">
        <f>IF(AND('Mapa final'!$AB$144="Alta",'Mapa final'!$AD$144="Moderado"),CONCATENATE("R48C",'Mapa final'!$R$144),"")</f>
        <v/>
      </c>
      <c r="S103" s="105" t="str">
        <f>IF(AND('Mapa final'!$AB$142="Alta",'Mapa final'!$AD$142="Mayor"),CONCATENATE("R48C",'Mapa final'!$R$142),"")</f>
        <v/>
      </c>
      <c r="T103" s="42" t="str">
        <f>IF(AND('Mapa final'!$AB$143="Alta",'Mapa final'!$AD$143="Mayor"),CONCATENATE("R48C",'Mapa final'!$R$143),"")</f>
        <v/>
      </c>
      <c r="U103" s="106" t="str">
        <f>IF(AND('Mapa final'!$AB$144="Alta",'Mapa final'!$AD$144="Mayor"),CONCATENATE("R48C",'Mapa final'!$R$144),"")</f>
        <v/>
      </c>
      <c r="V103" s="43" t="str">
        <f>IF(AND('Mapa final'!$AB$142="Alta",'Mapa final'!$AD$142="Catastrófico"),CONCATENATE("R48C",'Mapa final'!$R$142),"")</f>
        <v/>
      </c>
      <c r="W103" s="44" t="str">
        <f>IF(AND('Mapa final'!$AB$143="Alta",'Mapa final'!$AD$143="Catastrófico"),CONCATENATE("R48C",'Mapa final'!$R$143),"")</f>
        <v/>
      </c>
      <c r="X103" s="100" t="str">
        <f>IF(AND('Mapa final'!$AB$144="Alta",'Mapa final'!$AD$144="Catastrófico"),CONCATENATE("R48C",'Mapa final'!$R$144),"")</f>
        <v/>
      </c>
      <c r="Y103" s="56"/>
      <c r="Z103" s="292"/>
      <c r="AA103" s="293"/>
      <c r="AB103" s="293"/>
      <c r="AC103" s="293"/>
      <c r="AD103" s="293"/>
      <c r="AE103" s="294"/>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row>
    <row r="104" spans="1:61" ht="15" customHeight="1" x14ac:dyDescent="0.35">
      <c r="A104" s="56"/>
      <c r="B104" s="307"/>
      <c r="C104" s="307"/>
      <c r="D104" s="308"/>
      <c r="E104" s="284"/>
      <c r="F104" s="297"/>
      <c r="G104" s="297"/>
      <c r="H104" s="297"/>
      <c r="I104" s="279"/>
      <c r="J104" s="49" t="str">
        <f>IF(AND('Mapa final'!$AB$145="Alta",'Mapa final'!$AD$145="Leve"),CONCATENATE("R49C",'Mapa final'!$R$145),"")</f>
        <v/>
      </c>
      <c r="K104" s="50" t="str">
        <f>IF(AND('Mapa final'!$AB$146="Alta",'Mapa final'!$AD$146="Leve"),CONCATENATE("R49C",'Mapa final'!$R$146),"")</f>
        <v/>
      </c>
      <c r="L104" s="111" t="str">
        <f>IF(AND('Mapa final'!$AB$147="Alta",'Mapa final'!$AD$147="Leve"),CONCATENATE("R49C",'Mapa final'!$R$147),"")</f>
        <v/>
      </c>
      <c r="M104" s="49" t="str">
        <f>IF(AND('Mapa final'!$AB$145="Alta",'Mapa final'!$AD$145="Menor"),CONCATENATE("R49C",'Mapa final'!$R$145),"")</f>
        <v/>
      </c>
      <c r="N104" s="50" t="str">
        <f>IF(AND('Mapa final'!$AB$146="Alta",'Mapa final'!$AD$146="Menor"),CONCATENATE("R49C",'Mapa final'!$R$146),"")</f>
        <v/>
      </c>
      <c r="O104" s="111" t="str">
        <f>IF(AND('Mapa final'!$AB$147="Alta",'Mapa final'!$AD$147="Menor"),CONCATENATE("R49C",'Mapa final'!$R$147),"")</f>
        <v/>
      </c>
      <c r="P104" s="105" t="str">
        <f>IF(AND('Mapa final'!$AB$145="Alta",'Mapa final'!$AD$145="Moderado"),CONCATENATE("R49C",'Mapa final'!$R$145),"")</f>
        <v/>
      </c>
      <c r="Q104" s="42" t="str">
        <f>IF(AND('Mapa final'!$AB$146="Alta",'Mapa final'!$AD$146="Moderado"),CONCATENATE("R49C",'Mapa final'!$R$146),"")</f>
        <v/>
      </c>
      <c r="R104" s="106" t="str">
        <f>IF(AND('Mapa final'!$AB$147="Alta",'Mapa final'!$AD$147="Moderado"),CONCATENATE("R49C",'Mapa final'!$R$147),"")</f>
        <v/>
      </c>
      <c r="S104" s="105" t="str">
        <f>IF(AND('Mapa final'!$AB$145="Alta",'Mapa final'!$AD$145="Mayor"),CONCATENATE("R49C",'Mapa final'!$R$145),"")</f>
        <v/>
      </c>
      <c r="T104" s="42" t="str">
        <f>IF(AND('Mapa final'!$AB$146="Alta",'Mapa final'!$AD$146="Mayor"),CONCATENATE("R49C",'Mapa final'!$R$146),"")</f>
        <v/>
      </c>
      <c r="U104" s="106" t="str">
        <f>IF(AND('Mapa final'!$AB$147="Alta",'Mapa final'!$AD$147="Mayor"),CONCATENATE("R49C",'Mapa final'!$R$147),"")</f>
        <v/>
      </c>
      <c r="V104" s="43" t="str">
        <f>IF(AND('Mapa final'!$AB$145="Alta",'Mapa final'!$AD$145="Catastrófico"),CONCATENATE("R49C",'Mapa final'!$R$145),"")</f>
        <v/>
      </c>
      <c r="W104" s="44" t="str">
        <f>IF(AND('Mapa final'!$AB$146="Alta",'Mapa final'!$AD$146="Catastrófico"),CONCATENATE("R49C",'Mapa final'!$R$146),"")</f>
        <v/>
      </c>
      <c r="X104" s="100" t="str">
        <f>IF(AND('Mapa final'!$AB$147="Alta",'Mapa final'!$AD$147="Catastrófico"),CONCATENATE("R49C",'Mapa final'!$R$147),"")</f>
        <v/>
      </c>
      <c r="Y104" s="56"/>
      <c r="Z104" s="292"/>
      <c r="AA104" s="293"/>
      <c r="AB104" s="293"/>
      <c r="AC104" s="293"/>
      <c r="AD104" s="293"/>
      <c r="AE104" s="294"/>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row>
    <row r="105" spans="1:61" ht="15" customHeight="1" thickBot="1" x14ac:dyDescent="0.4">
      <c r="A105" s="56"/>
      <c r="B105" s="307"/>
      <c r="C105" s="307"/>
      <c r="D105" s="308"/>
      <c r="E105" s="284"/>
      <c r="F105" s="297"/>
      <c r="G105" s="297"/>
      <c r="H105" s="297"/>
      <c r="I105" s="279"/>
      <c r="J105" s="51" t="str">
        <f>IF(AND('Mapa final'!$AB$148="Alta",'Mapa final'!$AD$148="Leve"),CONCATENATE("R50C",'Mapa final'!$R$148),"")</f>
        <v/>
      </c>
      <c r="K105" s="52" t="str">
        <f>IF(AND('Mapa final'!$AB$149="Alta",'Mapa final'!$AD$149="Leve"),CONCATENATE("R50C",'Mapa final'!$R$149),"")</f>
        <v/>
      </c>
      <c r="L105" s="112" t="str">
        <f>IF(AND('Mapa final'!$AB$150="Alta",'Mapa final'!$AD$150="Leve"),CONCATENATE("R50C",'Mapa final'!$R$150),"")</f>
        <v/>
      </c>
      <c r="M105" s="51" t="str">
        <f>IF(AND('Mapa final'!$AB$148="Alta",'Mapa final'!$AD$148="Menor"),CONCATENATE("R50C",'Mapa final'!$R$148),"")</f>
        <v/>
      </c>
      <c r="N105" s="52" t="str">
        <f>IF(AND('Mapa final'!$AB$149="Alta",'Mapa final'!$AD$149="Menor"),CONCATENATE("R50C",'Mapa final'!$R$149),"")</f>
        <v/>
      </c>
      <c r="O105" s="112" t="str">
        <f>IF(AND('Mapa final'!$AB$150="Alta",'Mapa final'!$AD$150="Menor"),CONCATENATE("R50C",'Mapa final'!$R$150),"")</f>
        <v/>
      </c>
      <c r="P105" s="105" t="str">
        <f>IF(AND('Mapa final'!$AB$148="Alta",'Mapa final'!$AD$148="Moderado"),CONCATENATE("R50C",'Mapa final'!$R$148),"")</f>
        <v/>
      </c>
      <c r="Q105" s="42" t="str">
        <f>IF(AND('Mapa final'!$AB$149="Alta",'Mapa final'!$AD$149="Moderado"),CONCATENATE("R50C",'Mapa final'!$R$149),"")</f>
        <v/>
      </c>
      <c r="R105" s="106" t="str">
        <f>IF(AND('Mapa final'!$AB$150="Alta",'Mapa final'!$AD$150="Moderado"),CONCATENATE("R50C",'Mapa final'!$R$150),"")</f>
        <v/>
      </c>
      <c r="S105" s="107" t="str">
        <f>IF(AND('Mapa final'!$AB$148="Alta",'Mapa final'!$AD$148="Mayor"),CONCATENATE("R50C",'Mapa final'!$R$148),"")</f>
        <v/>
      </c>
      <c r="T105" s="108" t="str">
        <f>IF(AND('Mapa final'!$AB$149="Alta",'Mapa final'!$AD$149="Mayor"),CONCATENATE("R50C",'Mapa final'!$R$149),"")</f>
        <v/>
      </c>
      <c r="U105" s="109" t="str">
        <f>IF(AND('Mapa final'!$AB$150="Alta",'Mapa final'!$AD$150="Mayor"),CONCATENATE("R50C",'Mapa final'!$R$150),"")</f>
        <v/>
      </c>
      <c r="V105" s="45" t="str">
        <f>IF(AND('Mapa final'!$AB$148="Alta",'Mapa final'!$AD$148="Catastrófico"),CONCATENATE("R50C",'Mapa final'!$R$148),"")</f>
        <v/>
      </c>
      <c r="W105" s="46" t="str">
        <f>IF(AND('Mapa final'!$AB$149="Alta",'Mapa final'!$AD$149="Catastrófico"),CONCATENATE("R50C",'Mapa final'!$R$149),"")</f>
        <v/>
      </c>
      <c r="X105" s="101" t="str">
        <f>IF(AND('Mapa final'!$AB$150="Alta",'Mapa final'!$AD$150="Catastrófico"),CONCATENATE("R50C",'Mapa final'!$R$150),"")</f>
        <v/>
      </c>
      <c r="Y105" s="56"/>
      <c r="Z105" s="292"/>
      <c r="AA105" s="293"/>
      <c r="AB105" s="293"/>
      <c r="AC105" s="293"/>
      <c r="AD105" s="293"/>
      <c r="AE105" s="294"/>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row>
    <row r="106" spans="1:61" ht="15" customHeight="1" x14ac:dyDescent="0.35">
      <c r="A106" s="56"/>
      <c r="B106" s="307"/>
      <c r="C106" s="307"/>
      <c r="D106" s="308"/>
      <c r="E106" s="295" t="s">
        <v>108</v>
      </c>
      <c r="F106" s="296"/>
      <c r="G106" s="296"/>
      <c r="H106" s="296"/>
      <c r="I106" s="296"/>
      <c r="J106" s="47" t="str">
        <f>IF(AND('Mapa final'!$AB$7="Media",'Mapa final'!$AD$7="Leve"),CONCATENATE("R1C",'Mapa final'!$R$7),"")</f>
        <v/>
      </c>
      <c r="K106" s="48" t="str">
        <f>IF(AND('Mapa final'!$AB$8="Media",'Mapa final'!$AD$8="Leve"),CONCATENATE("R1C",'Mapa final'!$R$8),"")</f>
        <v/>
      </c>
      <c r="L106" s="110" t="str">
        <f>IF(AND('Mapa final'!$AB$9="Media",'Mapa final'!$AD$9="Leve"),CONCATENATE("R1C",'Mapa final'!$R$9),"")</f>
        <v/>
      </c>
      <c r="M106" s="47" t="str">
        <f>IF(AND('Mapa final'!$AB$7="Media",'Mapa final'!$AD$7="Menor"),CONCATENATE("R1C",'Mapa final'!$R$7),"")</f>
        <v/>
      </c>
      <c r="N106" s="48" t="str">
        <f>IF(AND('Mapa final'!$AB$8="Media",'Mapa final'!$AD$8="Menor"),CONCATENATE("R1C",'Mapa final'!$R$8),"")</f>
        <v/>
      </c>
      <c r="O106" s="110" t="str">
        <f>IF(AND('Mapa final'!$AB$9="Media",'Mapa final'!$AD$9="Menor"),CONCATENATE("R1C",'Mapa final'!$R$9),"")</f>
        <v/>
      </c>
      <c r="P106" s="47" t="str">
        <f>IF(AND('Mapa final'!$AB$7="Media",'Mapa final'!$AD$7="Moderado"),CONCATENATE("R1C",'Mapa final'!$R$7),"")</f>
        <v/>
      </c>
      <c r="Q106" s="48" t="str">
        <f>IF(AND('Mapa final'!$AB$8="Media",'Mapa final'!$AD$8="Moderado"),CONCATENATE("R1C",'Mapa final'!$R$8),"")</f>
        <v/>
      </c>
      <c r="R106" s="110" t="str">
        <f>IF(AND('Mapa final'!$AB$9="Media",'Mapa final'!$AD$9="Moderado"),CONCATENATE("R1C",'Mapa final'!$R$9),"")</f>
        <v/>
      </c>
      <c r="S106" s="102" t="str">
        <f>IF(AND('Mapa final'!$AB$7="Media",'Mapa final'!$AD$7="Mayor"),CONCATENATE("R1C",'Mapa final'!$R$7),"")</f>
        <v/>
      </c>
      <c r="T106" s="103" t="str">
        <f>IF(AND('Mapa final'!$AB$8="Media",'Mapa final'!$AD$8="Mayor"),CONCATENATE("R1C",'Mapa final'!$R$8),"")</f>
        <v/>
      </c>
      <c r="U106" s="104" t="str">
        <f>IF(AND('Mapa final'!$AB$9="Media",'Mapa final'!$AD$9="Mayor"),CONCATENATE("R1C",'Mapa final'!$R$9),"")</f>
        <v/>
      </c>
      <c r="V106" s="40" t="str">
        <f>IF(AND('Mapa final'!$AB$7="Media",'Mapa final'!$AD$7="Catastrófico"),CONCATENATE("R1C",'Mapa final'!$R$7),"")</f>
        <v/>
      </c>
      <c r="W106" s="41" t="str">
        <f>IF(AND('Mapa final'!$AB$8="Media",'Mapa final'!$AD$8="Catastrófico"),CONCATENATE("R1C",'Mapa final'!$R$8),"")</f>
        <v/>
      </c>
      <c r="X106" s="99" t="str">
        <f>IF(AND('Mapa final'!$AB$9="Media",'Mapa final'!$AD$9="Catastrófico"),CONCATENATE("R1C",'Mapa final'!$R$9),"")</f>
        <v/>
      </c>
      <c r="Y106" s="56"/>
      <c r="Z106" s="315" t="s">
        <v>75</v>
      </c>
      <c r="AA106" s="316"/>
      <c r="AB106" s="316"/>
      <c r="AC106" s="316"/>
      <c r="AD106" s="316"/>
      <c r="AE106" s="317"/>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row>
    <row r="107" spans="1:61" ht="15" customHeight="1" x14ac:dyDescent="0.35">
      <c r="A107" s="56"/>
      <c r="B107" s="307"/>
      <c r="C107" s="307"/>
      <c r="D107" s="308"/>
      <c r="E107" s="283"/>
      <c r="F107" s="279"/>
      <c r="G107" s="279"/>
      <c r="H107" s="279"/>
      <c r="I107" s="279"/>
      <c r="J107" s="49" t="str">
        <f>IF(AND('Mapa final'!$AB$10="Media",'Mapa final'!$AD$10="Leve"),CONCATENATE("R2C",'Mapa final'!$R$10),"")</f>
        <v/>
      </c>
      <c r="K107" s="50" t="str">
        <f>IF(AND('Mapa final'!$AB$11="Media",'Mapa final'!$AD$11="Leve"),CONCATENATE("R2C",'Mapa final'!$R$11),"")</f>
        <v/>
      </c>
      <c r="L107" s="111" t="str">
        <f>IF(AND('Mapa final'!$AB$12="Media",'Mapa final'!$AD$12="Leve"),CONCATENATE("R2C",'Mapa final'!$R$12),"")</f>
        <v/>
      </c>
      <c r="M107" s="49" t="str">
        <f>IF(AND('Mapa final'!$AB$10="Media",'Mapa final'!$AD$10="Menor"),CONCATENATE("R2C",'Mapa final'!$R$10),"")</f>
        <v/>
      </c>
      <c r="N107" s="50" t="str">
        <f>IF(AND('Mapa final'!$AB$11="Media",'Mapa final'!$AD$11="Menor"),CONCATENATE("R2C",'Mapa final'!$R$11),"")</f>
        <v/>
      </c>
      <c r="O107" s="111" t="str">
        <f>IF(AND('Mapa final'!$AB$12="Media",'Mapa final'!$AD$12="Menor"),CONCATENATE("R2C",'Mapa final'!$R$12),"")</f>
        <v/>
      </c>
      <c r="P107" s="49" t="str">
        <f>IF(AND('Mapa final'!$AB$10="Media",'Mapa final'!$AD$10="Moderado"),CONCATENATE("R2C",'Mapa final'!$R$10),"")</f>
        <v/>
      </c>
      <c r="Q107" s="50" t="str">
        <f>IF(AND('Mapa final'!$AB$11="Media",'Mapa final'!$AD$11="Moderado"),CONCATENATE("R2C",'Mapa final'!$R$11),"")</f>
        <v/>
      </c>
      <c r="R107" s="111" t="str">
        <f>IF(AND('Mapa final'!$AB$12="Media",'Mapa final'!$AD$12="Moderado"),CONCATENATE("R2C",'Mapa final'!$R$12),"")</f>
        <v/>
      </c>
      <c r="S107" s="105" t="str">
        <f>IF(AND('Mapa final'!$AB$10="Media",'Mapa final'!$AD$10="Mayor"),CONCATENATE("R2C",'Mapa final'!$R$10),"")</f>
        <v/>
      </c>
      <c r="T107" s="42" t="str">
        <f>IF(AND('Mapa final'!$AB$11="Media",'Mapa final'!$AD$11="Mayor"),CONCATENATE("R2C",'Mapa final'!$R$11),"")</f>
        <v/>
      </c>
      <c r="U107" s="106" t="str">
        <f>IF(AND('Mapa final'!$AB$12="Media",'Mapa final'!$AD$12="Mayor"),CONCATENATE("R2C",'Mapa final'!$R$12),"")</f>
        <v/>
      </c>
      <c r="V107" s="43" t="str">
        <f>IF(AND('Mapa final'!$AB$10="Media",'Mapa final'!$AD$10="Catastrófico"),CONCATENATE("R2C",'Mapa final'!$R$10),"")</f>
        <v/>
      </c>
      <c r="W107" s="44" t="str">
        <f>IF(AND('Mapa final'!$AB$11="Media",'Mapa final'!$AD$11="Catastrófico"),CONCATENATE("R2C",'Mapa final'!$R$11),"")</f>
        <v/>
      </c>
      <c r="X107" s="100" t="str">
        <f>IF(AND('Mapa final'!$AB$12="Media",'Mapa final'!$AD$12="Catastrófico"),CONCATENATE("R2C",'Mapa final'!$R$12),"")</f>
        <v/>
      </c>
      <c r="Y107" s="56"/>
      <c r="Z107" s="318"/>
      <c r="AA107" s="319"/>
      <c r="AB107" s="319"/>
      <c r="AC107" s="319"/>
      <c r="AD107" s="319"/>
      <c r="AE107" s="320"/>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row>
    <row r="108" spans="1:61" ht="15" customHeight="1" x14ac:dyDescent="0.35">
      <c r="A108" s="56"/>
      <c r="B108" s="307"/>
      <c r="C108" s="307"/>
      <c r="D108" s="308"/>
      <c r="E108" s="284"/>
      <c r="F108" s="297"/>
      <c r="G108" s="297"/>
      <c r="H108" s="297"/>
      <c r="I108" s="279"/>
      <c r="J108" s="49" t="str">
        <f>IF(AND('Mapa final'!$AB$13="Media",'Mapa final'!$AD$13="Leve"),CONCATENATE("R3C",'Mapa final'!$R$13),"")</f>
        <v/>
      </c>
      <c r="K108" s="50" t="str">
        <f>IF(AND('Mapa final'!$AB$14="Media",'Mapa final'!$AD$14="Leve"),CONCATENATE("R3C",'Mapa final'!$R$14),"")</f>
        <v/>
      </c>
      <c r="L108" s="111" t="str">
        <f>IF(AND('Mapa final'!$AB$15="Media",'Mapa final'!$AD$15="Leve"),CONCATENATE("R3C",'Mapa final'!$R$15),"")</f>
        <v/>
      </c>
      <c r="M108" s="49" t="str">
        <f>IF(AND('Mapa final'!$AB$13="Media",'Mapa final'!$AD$13="Menor"),CONCATENATE("R3C",'Mapa final'!$R$13),"")</f>
        <v/>
      </c>
      <c r="N108" s="50" t="str">
        <f>IF(AND('Mapa final'!$AB$14="Media",'Mapa final'!$AD$14="Menor"),CONCATENATE("R3C",'Mapa final'!$R$14),"")</f>
        <v/>
      </c>
      <c r="O108" s="111" t="str">
        <f>IF(AND('Mapa final'!$AB$15="Media",'Mapa final'!$AD$15="Menor"),CONCATENATE("R3C",'Mapa final'!$R$15),"")</f>
        <v/>
      </c>
      <c r="P108" s="49" t="str">
        <f>IF(AND('Mapa final'!$AB$13="Media",'Mapa final'!$AD$13="Moderado"),CONCATENATE("R3C",'Mapa final'!$R$13),"")</f>
        <v>R3C1</v>
      </c>
      <c r="Q108" s="50" t="str">
        <f>IF(AND('Mapa final'!$AB$14="Media",'Mapa final'!$AD$14="Moderado"),CONCATENATE("R3C",'Mapa final'!$R$14),"")</f>
        <v/>
      </c>
      <c r="R108" s="111" t="str">
        <f>IF(AND('Mapa final'!$AB$15="Media",'Mapa final'!$AD$15="Moderado"),CONCATENATE("R3C",'Mapa final'!$R$15),"")</f>
        <v/>
      </c>
      <c r="S108" s="105" t="str">
        <f>IF(AND('Mapa final'!$AB$13="Media",'Mapa final'!$AD$13="Mayor"),CONCATENATE("R3C",'Mapa final'!$R$13),"")</f>
        <v/>
      </c>
      <c r="T108" s="42" t="str">
        <f>IF(AND('Mapa final'!$AB$14="Media",'Mapa final'!$AD$14="Mayor"),CONCATENATE("R3C",'Mapa final'!$R$14),"")</f>
        <v/>
      </c>
      <c r="U108" s="106" t="str">
        <f>IF(AND('Mapa final'!$AB$15="Media",'Mapa final'!$AD$15="Mayor"),CONCATENATE("R3C",'Mapa final'!$R$15),"")</f>
        <v/>
      </c>
      <c r="V108" s="43" t="str">
        <f>IF(AND('Mapa final'!$AB$13="Media",'Mapa final'!$AD$13="Catastrófico"),CONCATENATE("R3C",'Mapa final'!$R$13),"")</f>
        <v/>
      </c>
      <c r="W108" s="44" t="str">
        <f>IF(AND('Mapa final'!$AB$14="Media",'Mapa final'!$AD$14="Catastrófico"),CONCATENATE("R3C",'Mapa final'!$R$14),"")</f>
        <v/>
      </c>
      <c r="X108" s="100" t="str">
        <f>IF(AND('Mapa final'!$AB$15="Media",'Mapa final'!$AD$15="Catastrófico"),CONCATENATE("R3C",'Mapa final'!$R$15),"")</f>
        <v/>
      </c>
      <c r="Y108" s="56"/>
      <c r="Z108" s="318"/>
      <c r="AA108" s="319"/>
      <c r="AB108" s="319"/>
      <c r="AC108" s="319"/>
      <c r="AD108" s="319"/>
      <c r="AE108" s="320"/>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row>
    <row r="109" spans="1:61" ht="15" customHeight="1" x14ac:dyDescent="0.35">
      <c r="A109" s="56"/>
      <c r="B109" s="307"/>
      <c r="C109" s="307"/>
      <c r="D109" s="308"/>
      <c r="E109" s="284"/>
      <c r="F109" s="297"/>
      <c r="G109" s="297"/>
      <c r="H109" s="297"/>
      <c r="I109" s="279"/>
      <c r="J109" s="49" t="e">
        <f>IF(AND('Mapa final'!#REF!="Media",'Mapa final'!#REF!="Leve"),CONCATENATE("R4C",'Mapa final'!#REF!),"")</f>
        <v>#REF!</v>
      </c>
      <c r="K109" s="50" t="e">
        <f>IF(AND('Mapa final'!#REF!="Media",'Mapa final'!#REF!="Leve"),CONCATENATE("R4C",'Mapa final'!#REF!),"")</f>
        <v>#REF!</v>
      </c>
      <c r="L109" s="111" t="e">
        <f>IF(AND('Mapa final'!#REF!="Media",'Mapa final'!#REF!="Leve"),CONCATENATE("R4C",'Mapa final'!#REF!),"")</f>
        <v>#REF!</v>
      </c>
      <c r="M109" s="49" t="e">
        <f>IF(AND('Mapa final'!#REF!="Media",'Mapa final'!#REF!="Menor"),CONCATENATE("R4C",'Mapa final'!#REF!),"")</f>
        <v>#REF!</v>
      </c>
      <c r="N109" s="50" t="e">
        <f>IF(AND('Mapa final'!#REF!="Media",'Mapa final'!#REF!="Menor"),CONCATENATE("R4C",'Mapa final'!#REF!),"")</f>
        <v>#REF!</v>
      </c>
      <c r="O109" s="111" t="e">
        <f>IF(AND('Mapa final'!#REF!="Media",'Mapa final'!#REF!="Menor"),CONCATENATE("R4C",'Mapa final'!#REF!),"")</f>
        <v>#REF!</v>
      </c>
      <c r="P109" s="49" t="e">
        <f>IF(AND('Mapa final'!#REF!="Media",'Mapa final'!#REF!="Moderado"),CONCATENATE("R4C",'Mapa final'!#REF!),"")</f>
        <v>#REF!</v>
      </c>
      <c r="Q109" s="50" t="e">
        <f>IF(AND('Mapa final'!#REF!="Media",'Mapa final'!#REF!="Moderado"),CONCATENATE("R4C",'Mapa final'!#REF!),"")</f>
        <v>#REF!</v>
      </c>
      <c r="R109" s="111" t="e">
        <f>IF(AND('Mapa final'!#REF!="Media",'Mapa final'!#REF!="Moderado"),CONCATENATE("R4C",'Mapa final'!#REF!),"")</f>
        <v>#REF!</v>
      </c>
      <c r="S109" s="105" t="e">
        <f>IF(AND('Mapa final'!#REF!="Media",'Mapa final'!#REF!="Mayor"),CONCATENATE("R4C",'Mapa final'!#REF!),"")</f>
        <v>#REF!</v>
      </c>
      <c r="T109" s="42" t="e">
        <f>IF(AND('Mapa final'!#REF!="Media",'Mapa final'!#REF!="Mayor"),CONCATENATE("R4C",'Mapa final'!#REF!),"")</f>
        <v>#REF!</v>
      </c>
      <c r="U109" s="106" t="e">
        <f>IF(AND('Mapa final'!#REF!="Media",'Mapa final'!#REF!="Mayor"),CONCATENATE("R4C",'Mapa final'!#REF!),"")</f>
        <v>#REF!</v>
      </c>
      <c r="V109" s="43" t="e">
        <f>IF(AND('Mapa final'!#REF!="Media",'Mapa final'!#REF!="Catastrófico"),CONCATENATE("R4C",'Mapa final'!#REF!),"")</f>
        <v>#REF!</v>
      </c>
      <c r="W109" s="44" t="e">
        <f>IF(AND('Mapa final'!#REF!="Media",'Mapa final'!#REF!="Catastrófico"),CONCATENATE("R4C",'Mapa final'!#REF!),"")</f>
        <v>#REF!</v>
      </c>
      <c r="X109" s="100" t="e">
        <f>IF(AND('Mapa final'!#REF!="Media",'Mapa final'!#REF!="Catastrófico"),CONCATENATE("R4C",'Mapa final'!#REF!),"")</f>
        <v>#REF!</v>
      </c>
      <c r="Y109" s="56"/>
      <c r="Z109" s="318"/>
      <c r="AA109" s="319"/>
      <c r="AB109" s="319"/>
      <c r="AC109" s="319"/>
      <c r="AD109" s="319"/>
      <c r="AE109" s="320"/>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row>
    <row r="110" spans="1:61" ht="15" customHeight="1" x14ac:dyDescent="0.35">
      <c r="A110" s="56"/>
      <c r="B110" s="307"/>
      <c r="C110" s="307"/>
      <c r="D110" s="308"/>
      <c r="E110" s="284"/>
      <c r="F110" s="297"/>
      <c r="G110" s="297"/>
      <c r="H110" s="297"/>
      <c r="I110" s="279"/>
      <c r="J110" s="49" t="e">
        <f>IF(AND('Mapa final'!#REF!="Media",'Mapa final'!#REF!="Leve"),CONCATENATE("R5C",'Mapa final'!#REF!),"")</f>
        <v>#REF!</v>
      </c>
      <c r="K110" s="50" t="e">
        <f>IF(AND('Mapa final'!#REF!="Media",'Mapa final'!#REF!="Leve"),CONCATENATE("R5C",'Mapa final'!#REF!),"")</f>
        <v>#REF!</v>
      </c>
      <c r="L110" s="111" t="e">
        <f>IF(AND('Mapa final'!#REF!="Media",'Mapa final'!#REF!="Leve"),CONCATENATE("R5C",'Mapa final'!#REF!),"")</f>
        <v>#REF!</v>
      </c>
      <c r="M110" s="49" t="e">
        <f>IF(AND('Mapa final'!#REF!="Media",'Mapa final'!#REF!="Menor"),CONCATENATE("R5C",'Mapa final'!#REF!),"")</f>
        <v>#REF!</v>
      </c>
      <c r="N110" s="50" t="e">
        <f>IF(AND('Mapa final'!#REF!="Media",'Mapa final'!#REF!="Menor"),CONCATENATE("R5C",'Mapa final'!#REF!),"")</f>
        <v>#REF!</v>
      </c>
      <c r="O110" s="111" t="e">
        <f>IF(AND('Mapa final'!#REF!="Media",'Mapa final'!#REF!="Menor"),CONCATENATE("R5C",'Mapa final'!#REF!),"")</f>
        <v>#REF!</v>
      </c>
      <c r="P110" s="49" t="e">
        <f>IF(AND('Mapa final'!#REF!="Media",'Mapa final'!#REF!="Moderado"),CONCATENATE("R5C",'Mapa final'!#REF!),"")</f>
        <v>#REF!</v>
      </c>
      <c r="Q110" s="50" t="e">
        <f>IF(AND('Mapa final'!#REF!="Media",'Mapa final'!#REF!="Moderado"),CONCATENATE("R5C",'Mapa final'!#REF!),"")</f>
        <v>#REF!</v>
      </c>
      <c r="R110" s="111" t="e">
        <f>IF(AND('Mapa final'!#REF!="Media",'Mapa final'!#REF!="Moderado"),CONCATENATE("R5C",'Mapa final'!#REF!),"")</f>
        <v>#REF!</v>
      </c>
      <c r="S110" s="105" t="e">
        <f>IF(AND('Mapa final'!#REF!="Media",'Mapa final'!#REF!="Mayor"),CONCATENATE("R5C",'Mapa final'!#REF!),"")</f>
        <v>#REF!</v>
      </c>
      <c r="T110" s="42" t="e">
        <f>IF(AND('Mapa final'!#REF!="Media",'Mapa final'!#REF!="Mayor"),CONCATENATE("R5C",'Mapa final'!#REF!),"")</f>
        <v>#REF!</v>
      </c>
      <c r="U110" s="106" t="e">
        <f>IF(AND('Mapa final'!#REF!="Media",'Mapa final'!#REF!="Mayor"),CONCATENATE("R5C",'Mapa final'!#REF!),"")</f>
        <v>#REF!</v>
      </c>
      <c r="V110" s="43" t="e">
        <f>IF(AND('Mapa final'!#REF!="Media",'Mapa final'!#REF!="Catastrófico"),CONCATENATE("R5C",'Mapa final'!#REF!),"")</f>
        <v>#REF!</v>
      </c>
      <c r="W110" s="44" t="e">
        <f>IF(AND('Mapa final'!#REF!="Media",'Mapa final'!#REF!="Catastrófico"),CONCATENATE("R5C",'Mapa final'!#REF!),"")</f>
        <v>#REF!</v>
      </c>
      <c r="X110" s="100" t="e">
        <f>IF(AND('Mapa final'!#REF!="Media",'Mapa final'!#REF!="Catastrófico"),CONCATENATE("R5C",'Mapa final'!#REF!),"")</f>
        <v>#REF!</v>
      </c>
      <c r="Y110" s="56"/>
      <c r="Z110" s="318"/>
      <c r="AA110" s="319"/>
      <c r="AB110" s="319"/>
      <c r="AC110" s="319"/>
      <c r="AD110" s="319"/>
      <c r="AE110" s="320"/>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row>
    <row r="111" spans="1:61" ht="15" customHeight="1" x14ac:dyDescent="0.35">
      <c r="A111" s="56"/>
      <c r="B111" s="307"/>
      <c r="C111" s="307"/>
      <c r="D111" s="308"/>
      <c r="E111" s="284"/>
      <c r="F111" s="297"/>
      <c r="G111" s="297"/>
      <c r="H111" s="297"/>
      <c r="I111" s="279"/>
      <c r="J111" s="49" t="str">
        <f>IF(AND('Mapa final'!$AB$16="Media",'Mapa final'!$AD$16="Leve"),CONCATENATE("R6C",'Mapa final'!$R$16),"")</f>
        <v/>
      </c>
      <c r="K111" s="50" t="str">
        <f>IF(AND('Mapa final'!$AB$17="Media",'Mapa final'!$AD$17="Leve"),CONCATENATE("R6C",'Mapa final'!$R$17),"")</f>
        <v/>
      </c>
      <c r="L111" s="111" t="str">
        <f>IF(AND('Mapa final'!$AB$18="Media",'Mapa final'!$AD$18="Leve"),CONCATENATE("R6C",'Mapa final'!$R$18),"")</f>
        <v/>
      </c>
      <c r="M111" s="49" t="str">
        <f>IF(AND('Mapa final'!$AB$16="Media",'Mapa final'!$AD$16="Menor"),CONCATENATE("R6C",'Mapa final'!$R$16),"")</f>
        <v/>
      </c>
      <c r="N111" s="50" t="str">
        <f>IF(AND('Mapa final'!$AB$17="Media",'Mapa final'!$AD$17="Menor"),CONCATENATE("R6C",'Mapa final'!$R$17),"")</f>
        <v/>
      </c>
      <c r="O111" s="111" t="str">
        <f>IF(AND('Mapa final'!$AB$18="Media",'Mapa final'!$AD$18="Menor"),CONCATENATE("R6C",'Mapa final'!$R$18),"")</f>
        <v/>
      </c>
      <c r="P111" s="49" t="str">
        <f>IF(AND('Mapa final'!$AB$16="Media",'Mapa final'!$AD$16="Moderado"),CONCATENATE("R6C",'Mapa final'!$R$16),"")</f>
        <v/>
      </c>
      <c r="Q111" s="50" t="str">
        <f>IF(AND('Mapa final'!$AB$17="Media",'Mapa final'!$AD$17="Moderado"),CONCATENATE("R6C",'Mapa final'!$R$17),"")</f>
        <v/>
      </c>
      <c r="R111" s="111" t="str">
        <f>IF(AND('Mapa final'!$AB$18="Media",'Mapa final'!$AD$18="Moderado"),CONCATENATE("R6C",'Mapa final'!$R$18),"")</f>
        <v/>
      </c>
      <c r="S111" s="105" t="str">
        <f>IF(AND('Mapa final'!$AB$16="Media",'Mapa final'!$AD$16="Mayor"),CONCATENATE("R6C",'Mapa final'!$R$16),"")</f>
        <v/>
      </c>
      <c r="T111" s="42" t="str">
        <f>IF(AND('Mapa final'!$AB$17="Media",'Mapa final'!$AD$17="Mayor"),CONCATENATE("R6C",'Mapa final'!$R$17),"")</f>
        <v/>
      </c>
      <c r="U111" s="106" t="str">
        <f>IF(AND('Mapa final'!$AB$18="Media",'Mapa final'!$AD$18="Mayor"),CONCATENATE("R6C",'Mapa final'!$R$18),"")</f>
        <v/>
      </c>
      <c r="V111" s="43" t="str">
        <f>IF(AND('Mapa final'!$AB$16="Media",'Mapa final'!$AD$16="Catastrófico"),CONCATENATE("R6C",'Mapa final'!$R$16),"")</f>
        <v/>
      </c>
      <c r="W111" s="44" t="str">
        <f>IF(AND('Mapa final'!$AB$17="Media",'Mapa final'!$AD$17="Catastrófico"),CONCATENATE("R6C",'Mapa final'!$R$17),"")</f>
        <v/>
      </c>
      <c r="X111" s="100" t="str">
        <f>IF(AND('Mapa final'!$AB$18="Media",'Mapa final'!$AD$18="Catastrófico"),CONCATENATE("R6C",'Mapa final'!$R$18),"")</f>
        <v/>
      </c>
      <c r="Y111" s="56"/>
      <c r="Z111" s="318"/>
      <c r="AA111" s="319"/>
      <c r="AB111" s="319"/>
      <c r="AC111" s="319"/>
      <c r="AD111" s="319"/>
      <c r="AE111" s="320"/>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row>
    <row r="112" spans="1:61" ht="15" customHeight="1" x14ac:dyDescent="0.35">
      <c r="A112" s="56"/>
      <c r="B112" s="307"/>
      <c r="C112" s="307"/>
      <c r="D112" s="308"/>
      <c r="E112" s="284"/>
      <c r="F112" s="297"/>
      <c r="G112" s="297"/>
      <c r="H112" s="297"/>
      <c r="I112" s="279"/>
      <c r="J112" s="49" t="str">
        <f>IF(AND('Mapa final'!$AB$19="Media",'Mapa final'!$AD$19="Leve"),CONCATENATE("R7C",'Mapa final'!$R$19),"")</f>
        <v/>
      </c>
      <c r="K112" s="50" t="str">
        <f>IF(AND('Mapa final'!$AB$20="Media",'Mapa final'!$AD$20="Leve"),CONCATENATE("R7C",'Mapa final'!$R$20),"")</f>
        <v/>
      </c>
      <c r="L112" s="111" t="str">
        <f>IF(AND('Mapa final'!$AB$21="Media",'Mapa final'!$AD$21="Leve"),CONCATENATE("R7C",'Mapa final'!$R$21),"")</f>
        <v/>
      </c>
      <c r="M112" s="49" t="str">
        <f>IF(AND('Mapa final'!$AB$19="Media",'Mapa final'!$AD$19="Menor"),CONCATENATE("R7C",'Mapa final'!$R$19),"")</f>
        <v/>
      </c>
      <c r="N112" s="50" t="str">
        <f>IF(AND('Mapa final'!$AB$20="Media",'Mapa final'!$AD$20="Menor"),CONCATENATE("R7C",'Mapa final'!$R$20),"")</f>
        <v/>
      </c>
      <c r="O112" s="111" t="str">
        <f>IF(AND('Mapa final'!$AB$21="Media",'Mapa final'!$AD$21="Menor"),CONCATENATE("R7C",'Mapa final'!$R$21),"")</f>
        <v/>
      </c>
      <c r="P112" s="49" t="str">
        <f>IF(AND('Mapa final'!$AB$19="Media",'Mapa final'!$AD$19="Moderado"),CONCATENATE("R7C",'Mapa final'!$R$19),"")</f>
        <v/>
      </c>
      <c r="Q112" s="50" t="str">
        <f>IF(AND('Mapa final'!$AB$20="Media",'Mapa final'!$AD$20="Moderado"),CONCATENATE("R7C",'Mapa final'!$R$20),"")</f>
        <v/>
      </c>
      <c r="R112" s="111" t="str">
        <f>IF(AND('Mapa final'!$AB$21="Media",'Mapa final'!$AD$21="Moderado"),CONCATENATE("R7C",'Mapa final'!$R$21),"")</f>
        <v/>
      </c>
      <c r="S112" s="105" t="str">
        <f>IF(AND('Mapa final'!$AB$19="Media",'Mapa final'!$AD$19="Mayor"),CONCATENATE("R7C",'Mapa final'!$R$19),"")</f>
        <v/>
      </c>
      <c r="T112" s="42" t="str">
        <f>IF(AND('Mapa final'!$AB$20="Media",'Mapa final'!$AD$20="Mayor"),CONCATENATE("R7C",'Mapa final'!$R$20),"")</f>
        <v/>
      </c>
      <c r="U112" s="106" t="str">
        <f>IF(AND('Mapa final'!$AB$21="Media",'Mapa final'!$AD$21="Mayor"),CONCATENATE("R7C",'Mapa final'!$R$21),"")</f>
        <v/>
      </c>
      <c r="V112" s="43" t="str">
        <f>IF(AND('Mapa final'!$AB$19="Media",'Mapa final'!$AD$19="Catastrófico"),CONCATENATE("R7C",'Mapa final'!$R$19),"")</f>
        <v/>
      </c>
      <c r="W112" s="44" t="str">
        <f>IF(AND('Mapa final'!$AB$20="Media",'Mapa final'!$AD$20="Catastrófico"),CONCATENATE("R7C",'Mapa final'!$R$20),"")</f>
        <v/>
      </c>
      <c r="X112" s="100" t="str">
        <f>IF(AND('Mapa final'!$AB$21="Media",'Mapa final'!$AD$21="Catastrófico"),CONCATENATE("R7C",'Mapa final'!$R$21),"")</f>
        <v/>
      </c>
      <c r="Y112" s="56"/>
      <c r="Z112" s="318"/>
      <c r="AA112" s="319"/>
      <c r="AB112" s="319"/>
      <c r="AC112" s="319"/>
      <c r="AD112" s="319"/>
      <c r="AE112" s="320"/>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row>
    <row r="113" spans="1:61" ht="15" customHeight="1" x14ac:dyDescent="0.35">
      <c r="A113" s="56"/>
      <c r="B113" s="307"/>
      <c r="C113" s="307"/>
      <c r="D113" s="308"/>
      <c r="E113" s="284"/>
      <c r="F113" s="297"/>
      <c r="G113" s="297"/>
      <c r="H113" s="297"/>
      <c r="I113" s="279"/>
      <c r="J113" s="49" t="str">
        <f>IF(AND('Mapa final'!$AB$22="Media",'Mapa final'!$AD$22="Leve"),CONCATENATE("R8C",'Mapa final'!$R$22),"")</f>
        <v/>
      </c>
      <c r="K113" s="50" t="str">
        <f>IF(AND('Mapa final'!$AB$23="Media",'Mapa final'!$AD$23="Leve"),CONCATENATE("R8C",'Mapa final'!$R$23),"")</f>
        <v/>
      </c>
      <c r="L113" s="111" t="str">
        <f>IF(AND('Mapa final'!$AB$24="Media",'Mapa final'!$AD$24="Leve"),CONCATENATE("R8C",'Mapa final'!$R$24),"")</f>
        <v/>
      </c>
      <c r="M113" s="49" t="str">
        <f>IF(AND('Mapa final'!$AB$22="Media",'Mapa final'!$AD$22="Menor"),CONCATENATE("R8C",'Mapa final'!$R$22),"")</f>
        <v/>
      </c>
      <c r="N113" s="50" t="str">
        <f>IF(AND('Mapa final'!$AB$23="Media",'Mapa final'!$AD$23="Menor"),CONCATENATE("R8C",'Mapa final'!$R$23),"")</f>
        <v/>
      </c>
      <c r="O113" s="111" t="str">
        <f>IF(AND('Mapa final'!$AB$24="Media",'Mapa final'!$AD$24="Menor"),CONCATENATE("R8C",'Mapa final'!$R$24),"")</f>
        <v/>
      </c>
      <c r="P113" s="49" t="str">
        <f>IF(AND('Mapa final'!$AB$22="Media",'Mapa final'!$AD$22="Moderado"),CONCATENATE("R8C",'Mapa final'!$R$22),"")</f>
        <v>R8C1</v>
      </c>
      <c r="Q113" s="50" t="str">
        <f>IF(AND('Mapa final'!$AB$23="Media",'Mapa final'!$AD$23="Moderado"),CONCATENATE("R8C",'Mapa final'!$R$23),"")</f>
        <v/>
      </c>
      <c r="R113" s="111" t="str">
        <f>IF(AND('Mapa final'!$AB$24="Media",'Mapa final'!$AD$24="Moderado"),CONCATENATE("R8C",'Mapa final'!$R$24),"")</f>
        <v/>
      </c>
      <c r="S113" s="105" t="str">
        <f>IF(AND('Mapa final'!$AB$22="Media",'Mapa final'!$AD$22="Mayor"),CONCATENATE("R8C",'Mapa final'!$R$22),"")</f>
        <v/>
      </c>
      <c r="T113" s="42" t="str">
        <f>IF(AND('Mapa final'!$AB$23="Media",'Mapa final'!$AD$23="Mayor"),CONCATENATE("R8C",'Mapa final'!$R$23),"")</f>
        <v/>
      </c>
      <c r="U113" s="106" t="str">
        <f>IF(AND('Mapa final'!$AB$24="Media",'Mapa final'!$AD$24="Mayor"),CONCATENATE("R8C",'Mapa final'!$R$24),"")</f>
        <v/>
      </c>
      <c r="V113" s="43" t="str">
        <f>IF(AND('Mapa final'!$AB$22="Media",'Mapa final'!$AD$22="Catastrófico"),CONCATENATE("R8C",'Mapa final'!$R$22),"")</f>
        <v/>
      </c>
      <c r="W113" s="44" t="str">
        <f>IF(AND('Mapa final'!$AB$23="Media",'Mapa final'!$AD$23="Catastrófico"),CONCATENATE("R8C",'Mapa final'!$R$23),"")</f>
        <v/>
      </c>
      <c r="X113" s="100" t="str">
        <f>IF(AND('Mapa final'!$AB$24="Media",'Mapa final'!$AD$24="Catastrófico"),CONCATENATE("R8C",'Mapa final'!$R$24),"")</f>
        <v/>
      </c>
      <c r="Y113" s="56"/>
      <c r="Z113" s="318"/>
      <c r="AA113" s="319"/>
      <c r="AB113" s="319"/>
      <c r="AC113" s="319"/>
      <c r="AD113" s="319"/>
      <c r="AE113" s="320"/>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row>
    <row r="114" spans="1:61" ht="15" customHeight="1" x14ac:dyDescent="0.35">
      <c r="A114" s="56"/>
      <c r="B114" s="307"/>
      <c r="C114" s="307"/>
      <c r="D114" s="308"/>
      <c r="E114" s="284"/>
      <c r="F114" s="297"/>
      <c r="G114" s="297"/>
      <c r="H114" s="297"/>
      <c r="I114" s="279"/>
      <c r="J114" s="49" t="str">
        <f>IF(AND('Mapa final'!$AB$25="Media",'Mapa final'!$AD$25="Leve"),CONCATENATE("R9C",'Mapa final'!$R$25),"")</f>
        <v/>
      </c>
      <c r="K114" s="50" t="str">
        <f>IF(AND('Mapa final'!$AB$26="Media",'Mapa final'!$AD$26="Leve"),CONCATENATE("R9C",'Mapa final'!$R$26),"")</f>
        <v/>
      </c>
      <c r="L114" s="111" t="str">
        <f>IF(AND('Mapa final'!$AB$27="Media",'Mapa final'!$AD$27="Leve"),CONCATENATE("R9C",'Mapa final'!$R$27),"")</f>
        <v/>
      </c>
      <c r="M114" s="49" t="str">
        <f>IF(AND('Mapa final'!$AB$25="Media",'Mapa final'!$AD$25="Menor"),CONCATENATE("R9C",'Mapa final'!$R$25),"")</f>
        <v/>
      </c>
      <c r="N114" s="50" t="str">
        <f>IF(AND('Mapa final'!$AB$26="Media",'Mapa final'!$AD$26="Menor"),CONCATENATE("R9C",'Mapa final'!$R$26),"")</f>
        <v/>
      </c>
      <c r="O114" s="111" t="str">
        <f>IF(AND('Mapa final'!$AB$27="Media",'Mapa final'!$AD$27="Menor"),CONCATENATE("R9C",'Mapa final'!$R$27),"")</f>
        <v/>
      </c>
      <c r="P114" s="49" t="str">
        <f>IF(AND('Mapa final'!$AB$25="Media",'Mapa final'!$AD$25="Moderado"),CONCATENATE("R9C",'Mapa final'!$R$25),"")</f>
        <v/>
      </c>
      <c r="Q114" s="50" t="str">
        <f>IF(AND('Mapa final'!$AB$26="Media",'Mapa final'!$AD$26="Moderado"),CONCATENATE("R9C",'Mapa final'!$R$26),"")</f>
        <v/>
      </c>
      <c r="R114" s="111" t="str">
        <f>IF(AND('Mapa final'!$AB$27="Media",'Mapa final'!$AD$27="Moderado"),CONCATENATE("R9C",'Mapa final'!$R$27),"")</f>
        <v/>
      </c>
      <c r="S114" s="105" t="str">
        <f>IF(AND('Mapa final'!$AB$25="Media",'Mapa final'!$AD$25="Mayor"),CONCATENATE("R9C",'Mapa final'!$R$25),"")</f>
        <v>R9C1</v>
      </c>
      <c r="T114" s="42" t="str">
        <f>IF(AND('Mapa final'!$AB$26="Media",'Mapa final'!$AD$26="Mayor"),CONCATENATE("R9C",'Mapa final'!$R$26),"")</f>
        <v/>
      </c>
      <c r="U114" s="106" t="str">
        <f>IF(AND('Mapa final'!$AB$27="Media",'Mapa final'!$AD$27="Mayor"),CONCATENATE("R9C",'Mapa final'!$R$27),"")</f>
        <v/>
      </c>
      <c r="V114" s="43" t="str">
        <f>IF(AND('Mapa final'!$AB$25="Media",'Mapa final'!$AD$25="Catastrófico"),CONCATENATE("R9C",'Mapa final'!$R$25),"")</f>
        <v/>
      </c>
      <c r="W114" s="44" t="str">
        <f>IF(AND('Mapa final'!$AB$26="Media",'Mapa final'!$AD$26="Catastrófico"),CONCATENATE("R9C",'Mapa final'!$R$26),"")</f>
        <v/>
      </c>
      <c r="X114" s="100" t="str">
        <f>IF(AND('Mapa final'!$AB$27="Media",'Mapa final'!$AD$27="Catastrófico"),CONCATENATE("R9C",'Mapa final'!$R$27),"")</f>
        <v/>
      </c>
      <c r="Y114" s="56"/>
      <c r="Z114" s="318"/>
      <c r="AA114" s="319"/>
      <c r="AB114" s="319"/>
      <c r="AC114" s="319"/>
      <c r="AD114" s="319"/>
      <c r="AE114" s="320"/>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row>
    <row r="115" spans="1:61" ht="15" customHeight="1" x14ac:dyDescent="0.35">
      <c r="A115" s="56"/>
      <c r="B115" s="307"/>
      <c r="C115" s="307"/>
      <c r="D115" s="308"/>
      <c r="E115" s="284"/>
      <c r="F115" s="297"/>
      <c r="G115" s="297"/>
      <c r="H115" s="297"/>
      <c r="I115" s="279"/>
      <c r="J115" s="49" t="str">
        <f>IF(AND('Mapa final'!$AB$28="Media",'Mapa final'!$AD$28="Leve"),CONCATENATE("R10C",'Mapa final'!$R$28),"")</f>
        <v/>
      </c>
      <c r="K115" s="50" t="str">
        <f>IF(AND('Mapa final'!$AB$29="Media",'Mapa final'!$AD$29="Leve"),CONCATENATE("R10C",'Mapa final'!$R$29),"")</f>
        <v/>
      </c>
      <c r="L115" s="111" t="str">
        <f>IF(AND('Mapa final'!$AB$30="Media",'Mapa final'!$AD$30="Leve"),CONCATENATE("R10C",'Mapa final'!$R$30),"")</f>
        <v/>
      </c>
      <c r="M115" s="49" t="str">
        <f>IF(AND('Mapa final'!$AB$28="Media",'Mapa final'!$AD$28="Menor"),CONCATENATE("R10C",'Mapa final'!$R$28),"")</f>
        <v/>
      </c>
      <c r="N115" s="50" t="str">
        <f>IF(AND('Mapa final'!$AB$29="Media",'Mapa final'!$AD$29="Menor"),CONCATENATE("R10C",'Mapa final'!$R$29),"")</f>
        <v/>
      </c>
      <c r="O115" s="111" t="str">
        <f>IF(AND('Mapa final'!$AB$30="Media",'Mapa final'!$AD$30="Menor"),CONCATENATE("R10C",'Mapa final'!$R$30),"")</f>
        <v/>
      </c>
      <c r="P115" s="49" t="str">
        <f>IF(AND('Mapa final'!$AB$28="Media",'Mapa final'!$AD$28="Moderado"),CONCATENATE("R10C",'Mapa final'!$R$28),"")</f>
        <v>R10C1</v>
      </c>
      <c r="Q115" s="50" t="str">
        <f>IF(AND('Mapa final'!$AB$29="Media",'Mapa final'!$AD$29="Moderado"),CONCATENATE("R10C",'Mapa final'!$R$29),"")</f>
        <v/>
      </c>
      <c r="R115" s="111" t="str">
        <f>IF(AND('Mapa final'!$AB$30="Media",'Mapa final'!$AD$30="Moderado"),CONCATENATE("R10C",'Mapa final'!$R$30),"")</f>
        <v/>
      </c>
      <c r="S115" s="105" t="str">
        <f>IF(AND('Mapa final'!$AB$28="Media",'Mapa final'!$AD$28="Mayor"),CONCATENATE("R10C",'Mapa final'!$R$28),"")</f>
        <v/>
      </c>
      <c r="T115" s="42" t="str">
        <f>IF(AND('Mapa final'!$AB$29="Media",'Mapa final'!$AD$29="Mayor"),CONCATENATE("R10C",'Mapa final'!$R$29),"")</f>
        <v/>
      </c>
      <c r="U115" s="106" t="str">
        <f>IF(AND('Mapa final'!$AB$30="Media",'Mapa final'!$AD$30="Mayor"),CONCATENATE("R10C",'Mapa final'!$R$30),"")</f>
        <v/>
      </c>
      <c r="V115" s="43" t="str">
        <f>IF(AND('Mapa final'!$AB$28="Media",'Mapa final'!$AD$28="Catastrófico"),CONCATENATE("R10C",'Mapa final'!$R$28),"")</f>
        <v/>
      </c>
      <c r="W115" s="44" t="str">
        <f>IF(AND('Mapa final'!$AB$29="Media",'Mapa final'!$AD$29="Catastrófico"),CONCATENATE("R10C",'Mapa final'!$R$29),"")</f>
        <v/>
      </c>
      <c r="X115" s="100" t="str">
        <f>IF(AND('Mapa final'!$AB$30="Media",'Mapa final'!$AD$30="Catastrófico"),CONCATENATE("R10C",'Mapa final'!$R$30),"")</f>
        <v/>
      </c>
      <c r="Y115" s="56"/>
      <c r="Z115" s="318"/>
      <c r="AA115" s="319"/>
      <c r="AB115" s="319"/>
      <c r="AC115" s="319"/>
      <c r="AD115" s="319"/>
      <c r="AE115" s="320"/>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row>
    <row r="116" spans="1:61" ht="15" customHeight="1" x14ac:dyDescent="0.35">
      <c r="A116" s="56"/>
      <c r="B116" s="307"/>
      <c r="C116" s="307"/>
      <c r="D116" s="308"/>
      <c r="E116" s="284"/>
      <c r="F116" s="297"/>
      <c r="G116" s="297"/>
      <c r="H116" s="297"/>
      <c r="I116" s="279"/>
      <c r="J116" s="49" t="str">
        <f>IF(AND('Mapa final'!$AB$31="Media",'Mapa final'!$AD$31="Leve"),CONCATENATE("R11C",'Mapa final'!$R$31),"")</f>
        <v/>
      </c>
      <c r="K116" s="50" t="str">
        <f>IF(AND('Mapa final'!$AB$32="Media",'Mapa final'!$AD$32="Leve"),CONCATENATE("R11C",'Mapa final'!$R$32),"")</f>
        <v/>
      </c>
      <c r="L116" s="111" t="str">
        <f>IF(AND('Mapa final'!$AB$33="Media",'Mapa final'!$AD$33="Leve"),CONCATENATE("R11C",'Mapa final'!$R$33),"")</f>
        <v/>
      </c>
      <c r="M116" s="49" t="str">
        <f>IF(AND('Mapa final'!$AB$31="Media",'Mapa final'!$AD$31="Menor"),CONCATENATE("R11C",'Mapa final'!$R$31),"")</f>
        <v/>
      </c>
      <c r="N116" s="50" t="str">
        <f>IF(AND('Mapa final'!$AB$32="Media",'Mapa final'!$AD$32="Menor"),CONCATENATE("R11C",'Mapa final'!$R$32),"")</f>
        <v/>
      </c>
      <c r="O116" s="111" t="str">
        <f>IF(AND('Mapa final'!$AB$33="Media",'Mapa final'!$AD$33="Menor"),CONCATENATE("R11C",'Mapa final'!$R$33),"")</f>
        <v/>
      </c>
      <c r="P116" s="49" t="str">
        <f>IF(AND('Mapa final'!$AB$31="Media",'Mapa final'!$AD$31="Moderado"),CONCATENATE("R11C",'Mapa final'!$R$31),"")</f>
        <v/>
      </c>
      <c r="Q116" s="50" t="str">
        <f>IF(AND('Mapa final'!$AB$32="Media",'Mapa final'!$AD$32="Moderado"),CONCATENATE("R11C",'Mapa final'!$R$32),"")</f>
        <v/>
      </c>
      <c r="R116" s="111" t="str">
        <f>IF(AND('Mapa final'!$AB$33="Media",'Mapa final'!$AD$33="Moderado"),CONCATENATE("R11C",'Mapa final'!$R$33),"")</f>
        <v/>
      </c>
      <c r="S116" s="105" t="str">
        <f>IF(AND('Mapa final'!$AB$31="Media",'Mapa final'!$AD$31="Mayor"),CONCATENATE("R11C",'Mapa final'!$R$31),"")</f>
        <v/>
      </c>
      <c r="T116" s="42" t="str">
        <f>IF(AND('Mapa final'!$AB$32="Media",'Mapa final'!$AD$32="Mayor"),CONCATENATE("R11C",'Mapa final'!$R$32),"")</f>
        <v/>
      </c>
      <c r="U116" s="106" t="str">
        <f>IF(AND('Mapa final'!$AB$33="Media",'Mapa final'!$AD$33="Mayor"),CONCATENATE("R11C",'Mapa final'!$R$33),"")</f>
        <v/>
      </c>
      <c r="V116" s="43" t="str">
        <f>IF(AND('Mapa final'!$AB$31="Media",'Mapa final'!$AD$31="Catastrófico"),CONCATENATE("R11C",'Mapa final'!$R$31),"")</f>
        <v/>
      </c>
      <c r="W116" s="44" t="str">
        <f>IF(AND('Mapa final'!$AB$32="Media",'Mapa final'!$AD$32="Catastrófico"),CONCATENATE("R11C",'Mapa final'!$R$32),"")</f>
        <v/>
      </c>
      <c r="X116" s="100" t="str">
        <f>IF(AND('Mapa final'!$AB$33="Media",'Mapa final'!$AD$33="Catastrófico"),CONCATENATE("R11C",'Mapa final'!$R$33),"")</f>
        <v/>
      </c>
      <c r="Y116" s="56"/>
      <c r="Z116" s="318"/>
      <c r="AA116" s="319"/>
      <c r="AB116" s="319"/>
      <c r="AC116" s="319"/>
      <c r="AD116" s="319"/>
      <c r="AE116" s="320"/>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row>
    <row r="117" spans="1:61" ht="15" customHeight="1" x14ac:dyDescent="0.35">
      <c r="A117" s="56"/>
      <c r="B117" s="307"/>
      <c r="C117" s="307"/>
      <c r="D117" s="308"/>
      <c r="E117" s="284"/>
      <c r="F117" s="297"/>
      <c r="G117" s="297"/>
      <c r="H117" s="297"/>
      <c r="I117" s="279"/>
      <c r="J117" s="49" t="str">
        <f>IF(AND('Mapa final'!$AB$34="Media",'Mapa final'!$AD$34="Leve"),CONCATENATE("R12C",'Mapa final'!$R$34),"")</f>
        <v/>
      </c>
      <c r="K117" s="50" t="str">
        <f>IF(AND('Mapa final'!$AB$35="Media",'Mapa final'!$AD$35="Leve"),CONCATENATE("R12C",'Mapa final'!$R$35),"")</f>
        <v/>
      </c>
      <c r="L117" s="111" t="str">
        <f>IF(AND('Mapa final'!$AB$36="Media",'Mapa final'!$AD$36="Leve"),CONCATENATE("R12C",'Mapa final'!$R$36),"")</f>
        <v/>
      </c>
      <c r="M117" s="49" t="str">
        <f>IF(AND('Mapa final'!$AB$34="Media",'Mapa final'!$AD$34="Menor"),CONCATENATE("R12C",'Mapa final'!$R$34),"")</f>
        <v/>
      </c>
      <c r="N117" s="50" t="str">
        <f>IF(AND('Mapa final'!$AB$35="Media",'Mapa final'!$AD$35="Menor"),CONCATENATE("R12C",'Mapa final'!$R$35),"")</f>
        <v/>
      </c>
      <c r="O117" s="111" t="str">
        <f>IF(AND('Mapa final'!$AB$36="Media",'Mapa final'!$AD$36="Menor"),CONCATENATE("R12C",'Mapa final'!$R$36),"")</f>
        <v/>
      </c>
      <c r="P117" s="49" t="str">
        <f>IF(AND('Mapa final'!$AB$34="Media",'Mapa final'!$AD$34="Moderado"),CONCATENATE("R12C",'Mapa final'!$R$34),"")</f>
        <v/>
      </c>
      <c r="Q117" s="50" t="str">
        <f>IF(AND('Mapa final'!$AB$35="Media",'Mapa final'!$AD$35="Moderado"),CONCATENATE("R12C",'Mapa final'!$R$35),"")</f>
        <v/>
      </c>
      <c r="R117" s="111" t="str">
        <f>IF(AND('Mapa final'!$AB$36="Media",'Mapa final'!$AD$36="Moderado"),CONCATENATE("R12C",'Mapa final'!$R$36),"")</f>
        <v/>
      </c>
      <c r="S117" s="105" t="str">
        <f>IF(AND('Mapa final'!$AB$34="Media",'Mapa final'!$AD$34="Mayor"),CONCATENATE("R12C",'Mapa final'!$R$34),"")</f>
        <v/>
      </c>
      <c r="T117" s="42" t="str">
        <f>IF(AND('Mapa final'!$AB$35="Media",'Mapa final'!$AD$35="Mayor"),CONCATENATE("R12C",'Mapa final'!$R$35),"")</f>
        <v/>
      </c>
      <c r="U117" s="106" t="str">
        <f>IF(AND('Mapa final'!$AB$36="Media",'Mapa final'!$AD$36="Mayor"),CONCATENATE("R12C",'Mapa final'!$R$36),"")</f>
        <v/>
      </c>
      <c r="V117" s="43" t="str">
        <f>IF(AND('Mapa final'!$AB$34="Media",'Mapa final'!$AD$34="Catastrófico"),CONCATENATE("R12C",'Mapa final'!$R$34),"")</f>
        <v/>
      </c>
      <c r="W117" s="44" t="str">
        <f>IF(AND('Mapa final'!$AB$35="Media",'Mapa final'!$AD$35="Catastrófico"),CONCATENATE("R12C",'Mapa final'!$R$35),"")</f>
        <v/>
      </c>
      <c r="X117" s="100" t="str">
        <f>IF(AND('Mapa final'!$AB$36="Media",'Mapa final'!$AD$36="Catastrófico"),CONCATENATE("R12C",'Mapa final'!$R$36),"")</f>
        <v/>
      </c>
      <c r="Y117" s="56"/>
      <c r="Z117" s="318"/>
      <c r="AA117" s="319"/>
      <c r="AB117" s="319"/>
      <c r="AC117" s="319"/>
      <c r="AD117" s="319"/>
      <c r="AE117" s="320"/>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row>
    <row r="118" spans="1:61" ht="15" customHeight="1" x14ac:dyDescent="0.35">
      <c r="A118" s="56"/>
      <c r="B118" s="307"/>
      <c r="C118" s="307"/>
      <c r="D118" s="308"/>
      <c r="E118" s="284"/>
      <c r="F118" s="297"/>
      <c r="G118" s="297"/>
      <c r="H118" s="297"/>
      <c r="I118" s="279"/>
      <c r="J118" s="49" t="str">
        <f>IF(AND('Mapa final'!$AB$37="Media",'Mapa final'!$AD$37="Leve"),CONCATENATE("R13C",'Mapa final'!$R$37),"")</f>
        <v/>
      </c>
      <c r="K118" s="50" t="str">
        <f>IF(AND('Mapa final'!$AB$38="Media",'Mapa final'!$AD$38="Leve"),CONCATENATE("R13C",'Mapa final'!$R$38),"")</f>
        <v/>
      </c>
      <c r="L118" s="111" t="str">
        <f>IF(AND('Mapa final'!$AB$39="Media",'Mapa final'!$AD$39="Leve"),CONCATENATE("R13C",'Mapa final'!$R$39),"")</f>
        <v/>
      </c>
      <c r="M118" s="49" t="str">
        <f>IF(AND('Mapa final'!$AB$37="Media",'Mapa final'!$AD$37="Menor"),CONCATENATE("R13C",'Mapa final'!$R$37),"")</f>
        <v/>
      </c>
      <c r="N118" s="50" t="str">
        <f>IF(AND('Mapa final'!$AB$38="Media",'Mapa final'!$AD$38="Menor"),CONCATENATE("R13C",'Mapa final'!$R$38),"")</f>
        <v/>
      </c>
      <c r="O118" s="111" t="str">
        <f>IF(AND('Mapa final'!$AB$39="Media",'Mapa final'!$AD$39="Menor"),CONCATENATE("R13C",'Mapa final'!$R$39),"")</f>
        <v/>
      </c>
      <c r="P118" s="49" t="str">
        <f>IF(AND('Mapa final'!$AB$37="Media",'Mapa final'!$AD$37="Moderado"),CONCATENATE("R13C",'Mapa final'!$R$37),"")</f>
        <v/>
      </c>
      <c r="Q118" s="50" t="str">
        <f>IF(AND('Mapa final'!$AB$38="Media",'Mapa final'!$AD$38="Moderado"),CONCATENATE("R13C",'Mapa final'!$R$38),"")</f>
        <v/>
      </c>
      <c r="R118" s="111" t="str">
        <f>IF(AND('Mapa final'!$AB$39="Media",'Mapa final'!$AD$39="Moderado"),CONCATENATE("R13C",'Mapa final'!$R$39),"")</f>
        <v/>
      </c>
      <c r="S118" s="105" t="str">
        <f>IF(AND('Mapa final'!$AB$37="Media",'Mapa final'!$AD$37="Mayor"),CONCATENATE("R13C",'Mapa final'!$R$37),"")</f>
        <v/>
      </c>
      <c r="T118" s="42" t="str">
        <f>IF(AND('Mapa final'!$AB$38="Media",'Mapa final'!$AD$38="Mayor"),CONCATENATE("R13C",'Mapa final'!$R$38),"")</f>
        <v/>
      </c>
      <c r="U118" s="106" t="str">
        <f>IF(AND('Mapa final'!$AB$39="Media",'Mapa final'!$AD$39="Mayor"),CONCATENATE("R13C",'Mapa final'!$R$39),"")</f>
        <v/>
      </c>
      <c r="V118" s="43" t="str">
        <f>IF(AND('Mapa final'!$AB$37="Media",'Mapa final'!$AD$37="Catastrófico"),CONCATENATE("R13C",'Mapa final'!$R$37),"")</f>
        <v/>
      </c>
      <c r="W118" s="44" t="str">
        <f>IF(AND('Mapa final'!$AB$38="Media",'Mapa final'!$AD$38="Catastrófico"),CONCATENATE("R13C",'Mapa final'!$R$38),"")</f>
        <v/>
      </c>
      <c r="X118" s="100" t="str">
        <f>IF(AND('Mapa final'!$AB$39="Media",'Mapa final'!$AD$39="Catastrófico"),CONCATENATE("R13C",'Mapa final'!$R$39),"")</f>
        <v/>
      </c>
      <c r="Y118" s="56"/>
      <c r="Z118" s="318"/>
      <c r="AA118" s="319"/>
      <c r="AB118" s="319"/>
      <c r="AC118" s="319"/>
      <c r="AD118" s="319"/>
      <c r="AE118" s="320"/>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row>
    <row r="119" spans="1:61" ht="15" customHeight="1" x14ac:dyDescent="0.35">
      <c r="A119" s="56"/>
      <c r="B119" s="307"/>
      <c r="C119" s="307"/>
      <c r="D119" s="308"/>
      <c r="E119" s="284"/>
      <c r="F119" s="297"/>
      <c r="G119" s="297"/>
      <c r="H119" s="297"/>
      <c r="I119" s="279"/>
      <c r="J119" s="49" t="str">
        <f>IF(AND('Mapa final'!$AB$40="Media",'Mapa final'!$AD$40="Leve"),CONCATENATE("R14C",'Mapa final'!$R$40),"")</f>
        <v/>
      </c>
      <c r="K119" s="50" t="str">
        <f>IF(AND('Mapa final'!$AB$41="Media",'Mapa final'!$AD$41="Leve"),CONCATENATE("R14C",'Mapa final'!$R$41),"")</f>
        <v/>
      </c>
      <c r="L119" s="111" t="str">
        <f>IF(AND('Mapa final'!$AB$42="Media",'Mapa final'!$AD$42="Leve"),CONCATENATE("R14C",'Mapa final'!$R$42),"")</f>
        <v/>
      </c>
      <c r="M119" s="49" t="str">
        <f>IF(AND('Mapa final'!$AB$40="Media",'Mapa final'!$AD$40="Menor"),CONCATENATE("R14C",'Mapa final'!$R$40),"")</f>
        <v/>
      </c>
      <c r="N119" s="50" t="str">
        <f>IF(AND('Mapa final'!$AB$41="Media",'Mapa final'!$AD$41="Menor"),CONCATENATE("R14C",'Mapa final'!$R$41),"")</f>
        <v/>
      </c>
      <c r="O119" s="111" t="str">
        <f>IF(AND('Mapa final'!$AB$42="Media",'Mapa final'!$AD$42="Menor"),CONCATENATE("R14C",'Mapa final'!$R$42),"")</f>
        <v/>
      </c>
      <c r="P119" s="49" t="str">
        <f>IF(AND('Mapa final'!$AB$40="Media",'Mapa final'!$AD$40="Moderado"),CONCATENATE("R14C",'Mapa final'!$R$40),"")</f>
        <v/>
      </c>
      <c r="Q119" s="50" t="str">
        <f>IF(AND('Mapa final'!$AB$41="Media",'Mapa final'!$AD$41="Moderado"),CONCATENATE("R14C",'Mapa final'!$R$41),"")</f>
        <v/>
      </c>
      <c r="R119" s="111" t="str">
        <f>IF(AND('Mapa final'!$AB$42="Media",'Mapa final'!$AD$42="Moderado"),CONCATENATE("R14C",'Mapa final'!$R$42),"")</f>
        <v/>
      </c>
      <c r="S119" s="105" t="str">
        <f>IF(AND('Mapa final'!$AB$40="Media",'Mapa final'!$AD$40="Mayor"),CONCATENATE("R14C",'Mapa final'!$R$40),"")</f>
        <v/>
      </c>
      <c r="T119" s="42" t="str">
        <f>IF(AND('Mapa final'!$AB$41="Media",'Mapa final'!$AD$41="Mayor"),CONCATENATE("R14C",'Mapa final'!$R$41),"")</f>
        <v/>
      </c>
      <c r="U119" s="106" t="str">
        <f>IF(AND('Mapa final'!$AB$42="Media",'Mapa final'!$AD$42="Mayor"),CONCATENATE("R14C",'Mapa final'!$R$42),"")</f>
        <v/>
      </c>
      <c r="V119" s="43" t="str">
        <f>IF(AND('Mapa final'!$AB$40="Media",'Mapa final'!$AD$40="Catastrófico"),CONCATENATE("R14C",'Mapa final'!$R$40),"")</f>
        <v/>
      </c>
      <c r="W119" s="44" t="str">
        <f>IF(AND('Mapa final'!$AB$41="Media",'Mapa final'!$AD$41="Catastrófico"),CONCATENATE("R14C",'Mapa final'!$R$41),"")</f>
        <v/>
      </c>
      <c r="X119" s="100" t="str">
        <f>IF(AND('Mapa final'!$AB$42="Media",'Mapa final'!$AD$42="Catastrófico"),CONCATENATE("R14C",'Mapa final'!$R$42),"")</f>
        <v/>
      </c>
      <c r="Y119" s="56"/>
      <c r="Z119" s="318"/>
      <c r="AA119" s="319"/>
      <c r="AB119" s="319"/>
      <c r="AC119" s="319"/>
      <c r="AD119" s="319"/>
      <c r="AE119" s="320"/>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row>
    <row r="120" spans="1:61" ht="15" customHeight="1" x14ac:dyDescent="0.35">
      <c r="A120" s="56"/>
      <c r="B120" s="307"/>
      <c r="C120" s="307"/>
      <c r="D120" s="308"/>
      <c r="E120" s="284"/>
      <c r="F120" s="297"/>
      <c r="G120" s="297"/>
      <c r="H120" s="297"/>
      <c r="I120" s="279"/>
      <c r="J120" s="49" t="str">
        <f>IF(AND('Mapa final'!$AB$43="Media",'Mapa final'!$AD$43="Leve"),CONCATENATE("R15C",'Mapa final'!$R$43),"")</f>
        <v/>
      </c>
      <c r="K120" s="50" t="str">
        <f>IF(AND('Mapa final'!$AB$44="Media",'Mapa final'!$AD$44="Leve"),CONCATENATE("R15C",'Mapa final'!$R$44),"")</f>
        <v/>
      </c>
      <c r="L120" s="111" t="str">
        <f>IF(AND('Mapa final'!$AB$45="Media",'Mapa final'!$AD$45="Leve"),CONCATENATE("R15C",'Mapa final'!$R$45),"")</f>
        <v/>
      </c>
      <c r="M120" s="49" t="str">
        <f>IF(AND('Mapa final'!$AB$43="Media",'Mapa final'!$AD$43="Menor"),CONCATENATE("R15C",'Mapa final'!$R$43),"")</f>
        <v/>
      </c>
      <c r="N120" s="50" t="str">
        <f>IF(AND('Mapa final'!$AB$44="Media",'Mapa final'!$AD$44="Menor"),CONCATENATE("R15C",'Mapa final'!$R$44),"")</f>
        <v/>
      </c>
      <c r="O120" s="111" t="str">
        <f>IF(AND('Mapa final'!$AB$45="Media",'Mapa final'!$AD$45="Menor"),CONCATENATE("R15C",'Mapa final'!$R$45),"")</f>
        <v/>
      </c>
      <c r="P120" s="49" t="str">
        <f>IF(AND('Mapa final'!$AB$43="Media",'Mapa final'!$AD$43="Moderado"),CONCATENATE("R15C",'Mapa final'!$R$43),"")</f>
        <v>R15C1</v>
      </c>
      <c r="Q120" s="50" t="str">
        <f>IF(AND('Mapa final'!$AB$44="Media",'Mapa final'!$AD$44="Moderado"),CONCATENATE("R15C",'Mapa final'!$R$44),"")</f>
        <v/>
      </c>
      <c r="R120" s="111" t="str">
        <f>IF(AND('Mapa final'!$AB$45="Media",'Mapa final'!$AD$45="Moderado"),CONCATENATE("R15C",'Mapa final'!$R$45),"")</f>
        <v/>
      </c>
      <c r="S120" s="105" t="str">
        <f>IF(AND('Mapa final'!$AB$43="Media",'Mapa final'!$AD$43="Mayor"),CONCATENATE("R15C",'Mapa final'!$R$43),"")</f>
        <v/>
      </c>
      <c r="T120" s="42" t="str">
        <f>IF(AND('Mapa final'!$AB$44="Media",'Mapa final'!$AD$44="Mayor"),CONCATENATE("R15C",'Mapa final'!$R$44),"")</f>
        <v/>
      </c>
      <c r="U120" s="106" t="str">
        <f>IF(AND('Mapa final'!$AB$45="Media",'Mapa final'!$AD$45="Mayor"),CONCATENATE("R15C",'Mapa final'!$R$45),"")</f>
        <v/>
      </c>
      <c r="V120" s="43" t="str">
        <f>IF(AND('Mapa final'!$AB$43="Media",'Mapa final'!$AD$43="Catastrófico"),CONCATENATE("R15C",'Mapa final'!$R$43),"")</f>
        <v/>
      </c>
      <c r="W120" s="44" t="str">
        <f>IF(AND('Mapa final'!$AB$44="Media",'Mapa final'!$AD$44="Catastrófico"),CONCATENATE("R15C",'Mapa final'!$R$44),"")</f>
        <v/>
      </c>
      <c r="X120" s="100" t="str">
        <f>IF(AND('Mapa final'!$AB$45="Media",'Mapa final'!$AD$45="Catastrófico"),CONCATENATE("R15C",'Mapa final'!$R$45),"")</f>
        <v/>
      </c>
      <c r="Y120" s="56"/>
      <c r="Z120" s="318"/>
      <c r="AA120" s="319"/>
      <c r="AB120" s="319"/>
      <c r="AC120" s="319"/>
      <c r="AD120" s="319"/>
      <c r="AE120" s="320"/>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row>
    <row r="121" spans="1:61" ht="15" customHeight="1" x14ac:dyDescent="0.35">
      <c r="A121" s="56"/>
      <c r="B121" s="307"/>
      <c r="C121" s="307"/>
      <c r="D121" s="308"/>
      <c r="E121" s="284"/>
      <c r="F121" s="297"/>
      <c r="G121" s="297"/>
      <c r="H121" s="297"/>
      <c r="I121" s="279"/>
      <c r="J121" s="49" t="str">
        <f>IF(AND('Mapa final'!$AB$46="Media",'Mapa final'!$AD$46="Leve"),CONCATENATE("R16C",'Mapa final'!$R$46),"")</f>
        <v/>
      </c>
      <c r="K121" s="50" t="str">
        <f>IF(AND('Mapa final'!$AB$47="Media",'Mapa final'!$AD$47="Leve"),CONCATENATE("R16C",'Mapa final'!$R$47),"")</f>
        <v/>
      </c>
      <c r="L121" s="111" t="str">
        <f>IF(AND('Mapa final'!$AB$48="Media",'Mapa final'!$AD$48="Leve"),CONCATENATE("R16C",'Mapa final'!$R$48),"")</f>
        <v/>
      </c>
      <c r="M121" s="49" t="str">
        <f>IF(AND('Mapa final'!$AB$46="Media",'Mapa final'!$AD$46="Menor"),CONCATENATE("R16C",'Mapa final'!$R$46),"")</f>
        <v/>
      </c>
      <c r="N121" s="50" t="str">
        <f>IF(AND('Mapa final'!$AB$47="Media",'Mapa final'!$AD$47="Menor"),CONCATENATE("R16C",'Mapa final'!$R$47),"")</f>
        <v/>
      </c>
      <c r="O121" s="111" t="str">
        <f>IF(AND('Mapa final'!$AB$48="Media",'Mapa final'!$AD$48="Menor"),CONCATENATE("R16C",'Mapa final'!$R$48),"")</f>
        <v/>
      </c>
      <c r="P121" s="49" t="str">
        <f>IF(AND('Mapa final'!$AB$46="Media",'Mapa final'!$AD$46="Moderado"),CONCATENATE("R16C",'Mapa final'!$R$46),"")</f>
        <v/>
      </c>
      <c r="Q121" s="50" t="str">
        <f>IF(AND('Mapa final'!$AB$47="Media",'Mapa final'!$AD$47="Moderado"),CONCATENATE("R16C",'Mapa final'!$R$47),"")</f>
        <v/>
      </c>
      <c r="R121" s="111" t="str">
        <f>IF(AND('Mapa final'!$AB$48="Media",'Mapa final'!$AD$48="Moderado"),CONCATENATE("R16C",'Mapa final'!$R$48),"")</f>
        <v/>
      </c>
      <c r="S121" s="105" t="str">
        <f>IF(AND('Mapa final'!$AB$46="Media",'Mapa final'!$AD$46="Mayor"),CONCATENATE("R16C",'Mapa final'!$R$46),"")</f>
        <v/>
      </c>
      <c r="T121" s="42" t="str">
        <f>IF(AND('Mapa final'!$AB$47="Media",'Mapa final'!$AD$47="Mayor"),CONCATENATE("R16C",'Mapa final'!$R$47),"")</f>
        <v/>
      </c>
      <c r="U121" s="106" t="str">
        <f>IF(AND('Mapa final'!$AB$48="Media",'Mapa final'!$AD$48="Mayor"),CONCATENATE("R16C",'Mapa final'!$R$48),"")</f>
        <v/>
      </c>
      <c r="V121" s="43" t="str">
        <f>IF(AND('Mapa final'!$AB$46="Media",'Mapa final'!$AD$46="Catastrófico"),CONCATENATE("R16C",'Mapa final'!$R$46),"")</f>
        <v/>
      </c>
      <c r="W121" s="44" t="str">
        <f>IF(AND('Mapa final'!$AB$47="Media",'Mapa final'!$AD$47="Catastrófico"),CONCATENATE("R16C",'Mapa final'!$R$47),"")</f>
        <v/>
      </c>
      <c r="X121" s="100" t="str">
        <f>IF(AND('Mapa final'!$AB$48="Media",'Mapa final'!$AD$48="Catastrófico"),CONCATENATE("R16C",'Mapa final'!$R$48),"")</f>
        <v/>
      </c>
      <c r="Y121" s="56"/>
      <c r="Z121" s="318"/>
      <c r="AA121" s="319"/>
      <c r="AB121" s="319"/>
      <c r="AC121" s="319"/>
      <c r="AD121" s="319"/>
      <c r="AE121" s="320"/>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row>
    <row r="122" spans="1:61" ht="15" customHeight="1" x14ac:dyDescent="0.35">
      <c r="A122" s="56"/>
      <c r="B122" s="307"/>
      <c r="C122" s="307"/>
      <c r="D122" s="308"/>
      <c r="E122" s="284"/>
      <c r="F122" s="297"/>
      <c r="G122" s="297"/>
      <c r="H122" s="297"/>
      <c r="I122" s="279"/>
      <c r="J122" s="49" t="str">
        <f>IF(AND('Mapa final'!$AB$49="Media",'Mapa final'!$AD$49="Leve"),CONCATENATE("R17C",'Mapa final'!$R$49),"")</f>
        <v/>
      </c>
      <c r="K122" s="50" t="str">
        <f>IF(AND('Mapa final'!$AB$50="Media",'Mapa final'!$AD$50="Leve"),CONCATENATE("R17C",'Mapa final'!$R$50),"")</f>
        <v/>
      </c>
      <c r="L122" s="111" t="str">
        <f>IF(AND('Mapa final'!$AB$51="Media",'Mapa final'!$AD$51="Leve"),CONCATENATE("R17C",'Mapa final'!$R$51),"")</f>
        <v/>
      </c>
      <c r="M122" s="49" t="str">
        <f>IF(AND('Mapa final'!$AB$49="Media",'Mapa final'!$AD$49="Menor"),CONCATENATE("R17C",'Mapa final'!$R$49),"")</f>
        <v/>
      </c>
      <c r="N122" s="50" t="str">
        <f>IF(AND('Mapa final'!$AB$50="Media",'Mapa final'!$AD$50="Menor"),CONCATENATE("R17C",'Mapa final'!$R$50),"")</f>
        <v/>
      </c>
      <c r="O122" s="111" t="str">
        <f>IF(AND('Mapa final'!$AB$51="Media",'Mapa final'!$AD$51="Menor"),CONCATENATE("R17C",'Mapa final'!$R$51),"")</f>
        <v/>
      </c>
      <c r="P122" s="49" t="str">
        <f>IF(AND('Mapa final'!$AB$49="Media",'Mapa final'!$AD$49="Moderado"),CONCATENATE("R17C",'Mapa final'!$R$49),"")</f>
        <v/>
      </c>
      <c r="Q122" s="50" t="str">
        <f>IF(AND('Mapa final'!$AB$50="Media",'Mapa final'!$AD$50="Moderado"),CONCATENATE("R17C",'Mapa final'!$R$50),"")</f>
        <v/>
      </c>
      <c r="R122" s="111" t="str">
        <f>IF(AND('Mapa final'!$AB$51="Media",'Mapa final'!$AD$51="Moderado"),CONCATENATE("R17C",'Mapa final'!$R$51),"")</f>
        <v/>
      </c>
      <c r="S122" s="105" t="str">
        <f>IF(AND('Mapa final'!$AB$49="Media",'Mapa final'!$AD$49="Mayor"),CONCATENATE("R17C",'Mapa final'!$R$49),"")</f>
        <v>R17C1</v>
      </c>
      <c r="T122" s="42" t="str">
        <f>IF(AND('Mapa final'!$AB$50="Media",'Mapa final'!$AD$50="Mayor"),CONCATENATE("R17C",'Mapa final'!$R$50),"")</f>
        <v/>
      </c>
      <c r="U122" s="106" t="str">
        <f>IF(AND('Mapa final'!$AB$51="Media",'Mapa final'!$AD$51="Mayor"),CONCATENATE("R17C",'Mapa final'!$R$51),"")</f>
        <v/>
      </c>
      <c r="V122" s="43" t="str">
        <f>IF(AND('Mapa final'!$AB$49="Media",'Mapa final'!$AD$49="Catastrófico"),CONCATENATE("R17C",'Mapa final'!$R$49),"")</f>
        <v/>
      </c>
      <c r="W122" s="44" t="str">
        <f>IF(AND('Mapa final'!$AB$50="Media",'Mapa final'!$AD$50="Catastrófico"),CONCATENATE("R17C",'Mapa final'!$R$50),"")</f>
        <v/>
      </c>
      <c r="X122" s="100" t="str">
        <f>IF(AND('Mapa final'!$AB$51="Media",'Mapa final'!$AD$51="Catastrófico"),CONCATENATE("R17C",'Mapa final'!$R$51),"")</f>
        <v/>
      </c>
      <c r="Y122" s="56"/>
      <c r="Z122" s="318"/>
      <c r="AA122" s="319"/>
      <c r="AB122" s="319"/>
      <c r="AC122" s="319"/>
      <c r="AD122" s="319"/>
      <c r="AE122" s="320"/>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ht="15" customHeight="1" x14ac:dyDescent="0.35">
      <c r="A123" s="56"/>
      <c r="B123" s="307"/>
      <c r="C123" s="307"/>
      <c r="D123" s="308"/>
      <c r="E123" s="284"/>
      <c r="F123" s="297"/>
      <c r="G123" s="297"/>
      <c r="H123" s="297"/>
      <c r="I123" s="279"/>
      <c r="J123" s="49" t="str">
        <f>IF(AND('Mapa final'!$AB$52="Media",'Mapa final'!$AD$52="Leve"),CONCATENATE("R18C",'Mapa final'!$R$52),"")</f>
        <v/>
      </c>
      <c r="K123" s="50" t="str">
        <f>IF(AND('Mapa final'!$AB$53="Media",'Mapa final'!$AD$53="Leve"),CONCATENATE("R18C",'Mapa final'!$R$53),"")</f>
        <v/>
      </c>
      <c r="L123" s="111" t="str">
        <f>IF(AND('Mapa final'!$AB$54="Media",'Mapa final'!$AD$54="Leve"),CONCATENATE("R18C",'Mapa final'!$R$54),"")</f>
        <v/>
      </c>
      <c r="M123" s="49" t="str">
        <f>IF(AND('Mapa final'!$AB$52="Media",'Mapa final'!$AD$52="Menor"),CONCATENATE("R18C",'Mapa final'!$R$52),"")</f>
        <v/>
      </c>
      <c r="N123" s="50" t="str">
        <f>IF(AND('Mapa final'!$AB$53="Media",'Mapa final'!$AD$53="Menor"),CONCATENATE("R18C",'Mapa final'!$R$53),"")</f>
        <v/>
      </c>
      <c r="O123" s="111" t="str">
        <f>IF(AND('Mapa final'!$AB$54="Media",'Mapa final'!$AD$54="Menor"),CONCATENATE("R18C",'Mapa final'!$R$54),"")</f>
        <v/>
      </c>
      <c r="P123" s="49" t="str">
        <f>IF(AND('Mapa final'!$AB$52="Media",'Mapa final'!$AD$52="Moderado"),CONCATENATE("R18C",'Mapa final'!$R$52),"")</f>
        <v>R18C1</v>
      </c>
      <c r="Q123" s="50" t="str">
        <f>IF(AND('Mapa final'!$AB$53="Media",'Mapa final'!$AD$53="Moderado"),CONCATENATE("R18C",'Mapa final'!$R$53),"")</f>
        <v/>
      </c>
      <c r="R123" s="111" t="str">
        <f>IF(AND('Mapa final'!$AB$54="Media",'Mapa final'!$AD$54="Moderado"),CONCATENATE("R18C",'Mapa final'!$R$54),"")</f>
        <v/>
      </c>
      <c r="S123" s="105" t="str">
        <f>IF(AND('Mapa final'!$AB$52="Media",'Mapa final'!$AD$52="Mayor"),CONCATENATE("R18C",'Mapa final'!$R$52),"")</f>
        <v/>
      </c>
      <c r="T123" s="42" t="str">
        <f>IF(AND('Mapa final'!$AB$53="Media",'Mapa final'!$AD$53="Mayor"),CONCATENATE("R18C",'Mapa final'!$R$53),"")</f>
        <v/>
      </c>
      <c r="U123" s="106" t="str">
        <f>IF(AND('Mapa final'!$AB$54="Media",'Mapa final'!$AD$54="Mayor"),CONCATENATE("R18C",'Mapa final'!$R$54),"")</f>
        <v/>
      </c>
      <c r="V123" s="43" t="str">
        <f>IF(AND('Mapa final'!$AB$52="Media",'Mapa final'!$AD$52="Catastrófico"),CONCATENATE("R18C",'Mapa final'!$R$52),"")</f>
        <v/>
      </c>
      <c r="W123" s="44" t="str">
        <f>IF(AND('Mapa final'!$AB$53="Media",'Mapa final'!$AD$53="Catastrófico"),CONCATENATE("R18C",'Mapa final'!$R$53),"")</f>
        <v/>
      </c>
      <c r="X123" s="100" t="str">
        <f>IF(AND('Mapa final'!$AB$54="Media",'Mapa final'!$AD$54="Catastrófico"),CONCATENATE("R18C",'Mapa final'!$R$54),"")</f>
        <v/>
      </c>
      <c r="Y123" s="56"/>
      <c r="Z123" s="318"/>
      <c r="AA123" s="319"/>
      <c r="AB123" s="319"/>
      <c r="AC123" s="319"/>
      <c r="AD123" s="319"/>
      <c r="AE123" s="320"/>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ht="15" customHeight="1" x14ac:dyDescent="0.35">
      <c r="A124" s="56"/>
      <c r="B124" s="307"/>
      <c r="C124" s="307"/>
      <c r="D124" s="308"/>
      <c r="E124" s="284"/>
      <c r="F124" s="297"/>
      <c r="G124" s="297"/>
      <c r="H124" s="297"/>
      <c r="I124" s="279"/>
      <c r="J124" s="49" t="str">
        <f>IF(AND('Mapa final'!$AB$55="Media",'Mapa final'!$AD$55="Leve"),CONCATENATE("R19C",'Mapa final'!$R$55),"")</f>
        <v/>
      </c>
      <c r="K124" s="50" t="str">
        <f>IF(AND('Mapa final'!$AB$56="Media",'Mapa final'!$AD$56="Leve"),CONCATENATE("R19C",'Mapa final'!$R$56),"")</f>
        <v/>
      </c>
      <c r="L124" s="111" t="str">
        <f>IF(AND('Mapa final'!$AB$57="Media",'Mapa final'!$AD$57="Leve"),CONCATENATE("R19C",'Mapa final'!$R$57),"")</f>
        <v/>
      </c>
      <c r="M124" s="49" t="str">
        <f>IF(AND('Mapa final'!$AB$55="Media",'Mapa final'!$AD$55="Menor"),CONCATENATE("R19C",'Mapa final'!$R$55),"")</f>
        <v/>
      </c>
      <c r="N124" s="50" t="str">
        <f>IF(AND('Mapa final'!$AB$56="Media",'Mapa final'!$AD$56="Menor"),CONCATENATE("R19C",'Mapa final'!$R$56),"")</f>
        <v/>
      </c>
      <c r="O124" s="111" t="str">
        <f>IF(AND('Mapa final'!$AB$57="Media",'Mapa final'!$AD$57="Menor"),CONCATENATE("R19C",'Mapa final'!$R$57),"")</f>
        <v/>
      </c>
      <c r="P124" s="49" t="str">
        <f>IF(AND('Mapa final'!$AB$55="Media",'Mapa final'!$AD$55="Moderado"),CONCATENATE("R19C",'Mapa final'!$R$55),"")</f>
        <v>R19C1</v>
      </c>
      <c r="Q124" s="50" t="str">
        <f>IF(AND('Mapa final'!$AB$56="Media",'Mapa final'!$AD$56="Moderado"),CONCATENATE("R19C",'Mapa final'!$R$56),"")</f>
        <v/>
      </c>
      <c r="R124" s="111" t="str">
        <f>IF(AND('Mapa final'!$AB$57="Media",'Mapa final'!$AD$57="Moderado"),CONCATENATE("R19C",'Mapa final'!$R$57),"")</f>
        <v/>
      </c>
      <c r="S124" s="105" t="str">
        <f>IF(AND('Mapa final'!$AB$55="Media",'Mapa final'!$AD$55="Mayor"),CONCATENATE("R19C",'Mapa final'!$R$55),"")</f>
        <v/>
      </c>
      <c r="T124" s="42" t="str">
        <f>IF(AND('Mapa final'!$AB$56="Media",'Mapa final'!$AD$56="Mayor"),CONCATENATE("R19C",'Mapa final'!$R$56),"")</f>
        <v/>
      </c>
      <c r="U124" s="106" t="str">
        <f>IF(AND('Mapa final'!$AB$57="Media",'Mapa final'!$AD$57="Mayor"),CONCATENATE("R19C",'Mapa final'!$R$57),"")</f>
        <v/>
      </c>
      <c r="V124" s="43" t="str">
        <f>IF(AND('Mapa final'!$AB$55="Media",'Mapa final'!$AD$55="Catastrófico"),CONCATENATE("R19C",'Mapa final'!$R$55),"")</f>
        <v/>
      </c>
      <c r="W124" s="44" t="str">
        <f>IF(AND('Mapa final'!$AB$56="Media",'Mapa final'!$AD$56="Catastrófico"),CONCATENATE("R19C",'Mapa final'!$R$56),"")</f>
        <v/>
      </c>
      <c r="X124" s="100" t="str">
        <f>IF(AND('Mapa final'!$AB$57="Media",'Mapa final'!$AD$57="Catastrófico"),CONCATENATE("R19C",'Mapa final'!$R$57),"")</f>
        <v/>
      </c>
      <c r="Y124" s="56"/>
      <c r="Z124" s="318"/>
      <c r="AA124" s="319"/>
      <c r="AB124" s="319"/>
      <c r="AC124" s="319"/>
      <c r="AD124" s="319"/>
      <c r="AE124" s="320"/>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row>
    <row r="125" spans="1:61" ht="15" customHeight="1" x14ac:dyDescent="0.35">
      <c r="A125" s="56"/>
      <c r="B125" s="307"/>
      <c r="C125" s="307"/>
      <c r="D125" s="308"/>
      <c r="E125" s="284"/>
      <c r="F125" s="297"/>
      <c r="G125" s="297"/>
      <c r="H125" s="297"/>
      <c r="I125" s="279"/>
      <c r="J125" s="49" t="str">
        <f>IF(AND('Mapa final'!$AB$58="Media",'Mapa final'!$AD$58="Leve"),CONCATENATE("R20C",'Mapa final'!$R$58),"")</f>
        <v/>
      </c>
      <c r="K125" s="50" t="str">
        <f>IF(AND('Mapa final'!$AB$59="Media",'Mapa final'!$AD$59="Leve"),CONCATENATE("R20C",'Mapa final'!$R$59),"")</f>
        <v/>
      </c>
      <c r="L125" s="111" t="str">
        <f>IF(AND('Mapa final'!$AB$60="Media",'Mapa final'!$AD$60="Leve"),CONCATENATE("R20C",'Mapa final'!$R$60),"")</f>
        <v/>
      </c>
      <c r="M125" s="49" t="str">
        <f>IF(AND('Mapa final'!$AB$58="Media",'Mapa final'!$AD$58="Menor"),CONCATENATE("R20C",'Mapa final'!$R$58),"")</f>
        <v/>
      </c>
      <c r="N125" s="50" t="str">
        <f>IF(AND('Mapa final'!$AB$59="Media",'Mapa final'!$AD$59="Menor"),CONCATENATE("R20C",'Mapa final'!$R$59),"")</f>
        <v/>
      </c>
      <c r="O125" s="111" t="str">
        <f>IF(AND('Mapa final'!$AB$60="Media",'Mapa final'!$AD$60="Menor"),CONCATENATE("R20C",'Mapa final'!$R$60),"")</f>
        <v/>
      </c>
      <c r="P125" s="49" t="str">
        <f>IF(AND('Mapa final'!$AB$58="Media",'Mapa final'!$AD$58="Moderado"),CONCATENATE("R20C",'Mapa final'!$R$58),"")</f>
        <v/>
      </c>
      <c r="Q125" s="50" t="str">
        <f>IF(AND('Mapa final'!$AB$59="Media",'Mapa final'!$AD$59="Moderado"),CONCATENATE("R20C",'Mapa final'!$R$59),"")</f>
        <v/>
      </c>
      <c r="R125" s="111" t="str">
        <f>IF(AND('Mapa final'!$AB$60="Media",'Mapa final'!$AD$60="Moderado"),CONCATENATE("R20C",'Mapa final'!$R$60),"")</f>
        <v/>
      </c>
      <c r="S125" s="105" t="str">
        <f>IF(AND('Mapa final'!$AB$58="Media",'Mapa final'!$AD$58="Mayor"),CONCATENATE("R20C",'Mapa final'!$R$58),"")</f>
        <v/>
      </c>
      <c r="T125" s="42" t="str">
        <f>IF(AND('Mapa final'!$AB$59="Media",'Mapa final'!$AD$59="Mayor"),CONCATENATE("R20C",'Mapa final'!$R$59),"")</f>
        <v/>
      </c>
      <c r="U125" s="106" t="str">
        <f>IF(AND('Mapa final'!$AB$60="Media",'Mapa final'!$AD$60="Mayor"),CONCATENATE("R20C",'Mapa final'!$R$60),"")</f>
        <v/>
      </c>
      <c r="V125" s="43" t="str">
        <f>IF(AND('Mapa final'!$AB$58="Media",'Mapa final'!$AD$58="Catastrófico"),CONCATENATE("R20C",'Mapa final'!$R$58),"")</f>
        <v/>
      </c>
      <c r="W125" s="44" t="str">
        <f>IF(AND('Mapa final'!$AB$59="Media",'Mapa final'!$AD$59="Catastrófico"),CONCATENATE("R20C",'Mapa final'!$R$59),"")</f>
        <v/>
      </c>
      <c r="X125" s="100" t="str">
        <f>IF(AND('Mapa final'!$AB$60="Media",'Mapa final'!$AD$60="Catastrófico"),CONCATENATE("R20C",'Mapa final'!$R$60),"")</f>
        <v/>
      </c>
      <c r="Y125" s="56"/>
      <c r="Z125" s="318"/>
      <c r="AA125" s="319"/>
      <c r="AB125" s="319"/>
      <c r="AC125" s="319"/>
      <c r="AD125" s="319"/>
      <c r="AE125" s="320"/>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row>
    <row r="126" spans="1:61" ht="15" customHeight="1" x14ac:dyDescent="0.35">
      <c r="A126" s="56"/>
      <c r="B126" s="307"/>
      <c r="C126" s="307"/>
      <c r="D126" s="308"/>
      <c r="E126" s="284"/>
      <c r="F126" s="297"/>
      <c r="G126" s="297"/>
      <c r="H126" s="297"/>
      <c r="I126" s="279"/>
      <c r="J126" s="49" t="str">
        <f>IF(AND('Mapa final'!$AB$61="Media",'Mapa final'!$AD$61="Leve"),CONCATENATE("R21C",'Mapa final'!$R$61),"")</f>
        <v/>
      </c>
      <c r="K126" s="50" t="str">
        <f>IF(AND('Mapa final'!$AB$62="Media",'Mapa final'!$AD$62="Leve"),CONCATENATE("R21C",'Mapa final'!$R$62),"")</f>
        <v/>
      </c>
      <c r="L126" s="111" t="str">
        <f>IF(AND('Mapa final'!$AB$63="Media",'Mapa final'!$AD$63="Leve"),CONCATENATE("R21C",'Mapa final'!$R$63),"")</f>
        <v/>
      </c>
      <c r="M126" s="49" t="str">
        <f>IF(AND('Mapa final'!$AB$61="Media",'Mapa final'!$AD$61="Menor"),CONCATENATE("R21C",'Mapa final'!$R$61),"")</f>
        <v/>
      </c>
      <c r="N126" s="50" t="str">
        <f>IF(AND('Mapa final'!$AB$62="Media",'Mapa final'!$AD$62="Menor"),CONCATENATE("R21C",'Mapa final'!$R$62),"")</f>
        <v/>
      </c>
      <c r="O126" s="111" t="str">
        <f>IF(AND('Mapa final'!$AB$63="Media",'Mapa final'!$AD$63="Menor"),CONCATENATE("R21C",'Mapa final'!$R$63),"")</f>
        <v/>
      </c>
      <c r="P126" s="49" t="str">
        <f>IF(AND('Mapa final'!$AB$61="Media",'Mapa final'!$AD$61="Moderado"),CONCATENATE("R21C",'Mapa final'!$R$61),"")</f>
        <v/>
      </c>
      <c r="Q126" s="50" t="str">
        <f>IF(AND('Mapa final'!$AB$62="Media",'Mapa final'!$AD$62="Moderado"),CONCATENATE("R21C",'Mapa final'!$R$62),"")</f>
        <v/>
      </c>
      <c r="R126" s="111" t="str">
        <f>IF(AND('Mapa final'!$AB$63="Media",'Mapa final'!$AD$63="Moderado"),CONCATENATE("R21C",'Mapa final'!$R$63),"")</f>
        <v/>
      </c>
      <c r="S126" s="105" t="str">
        <f>IF(AND('Mapa final'!$AB$61="Media",'Mapa final'!$AD$61="Mayor"),CONCATENATE("R21C",'Mapa final'!$R$61),"")</f>
        <v/>
      </c>
      <c r="T126" s="42" t="str">
        <f>IF(AND('Mapa final'!$AB$62="Media",'Mapa final'!$AD$62="Mayor"),CONCATENATE("R21C",'Mapa final'!$R$62),"")</f>
        <v/>
      </c>
      <c r="U126" s="106" t="str">
        <f>IF(AND('Mapa final'!$AB$63="Media",'Mapa final'!$AD$63="Mayor"),CONCATENATE("R21C",'Mapa final'!$R$63),"")</f>
        <v/>
      </c>
      <c r="V126" s="43" t="str">
        <f>IF(AND('Mapa final'!$AB$61="Media",'Mapa final'!$AD$61="Catastrófico"),CONCATENATE("R21C",'Mapa final'!$R$61),"")</f>
        <v/>
      </c>
      <c r="W126" s="44" t="str">
        <f>IF(AND('Mapa final'!$AB$62="Media",'Mapa final'!$AD$62="Catastrófico"),CONCATENATE("R21C",'Mapa final'!$R$62),"")</f>
        <v/>
      </c>
      <c r="X126" s="100" t="str">
        <f>IF(AND('Mapa final'!$AB$63="Media",'Mapa final'!$AD$63="Catastrófico"),CONCATENATE("R21C",'Mapa final'!$R$63),"")</f>
        <v/>
      </c>
      <c r="Y126" s="56"/>
      <c r="Z126" s="318"/>
      <c r="AA126" s="319"/>
      <c r="AB126" s="319"/>
      <c r="AC126" s="319"/>
      <c r="AD126" s="319"/>
      <c r="AE126" s="320"/>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row>
    <row r="127" spans="1:61" ht="15" customHeight="1" x14ac:dyDescent="0.35">
      <c r="A127" s="56"/>
      <c r="B127" s="307"/>
      <c r="C127" s="307"/>
      <c r="D127" s="308"/>
      <c r="E127" s="284"/>
      <c r="F127" s="297"/>
      <c r="G127" s="297"/>
      <c r="H127" s="297"/>
      <c r="I127" s="279"/>
      <c r="J127" s="49" t="str">
        <f>IF(AND('Mapa final'!$AB$64="Media",'Mapa final'!$AD$64="Leve"),CONCATENATE("R22C",'Mapa final'!$R$64),"")</f>
        <v/>
      </c>
      <c r="K127" s="50" t="str">
        <f>IF(AND('Mapa final'!$AB$65="Media",'Mapa final'!$AD$65="Leve"),CONCATENATE("R22C",'Mapa final'!$R$65),"")</f>
        <v/>
      </c>
      <c r="L127" s="111" t="str">
        <f>IF(AND('Mapa final'!$AB$66="Media",'Mapa final'!$AD$66="Leve"),CONCATENATE("R22C",'Mapa final'!$R$66),"")</f>
        <v/>
      </c>
      <c r="M127" s="49" t="str">
        <f>IF(AND('Mapa final'!$AB$64="Media",'Mapa final'!$AD$64="Menor"),CONCATENATE("R22C",'Mapa final'!$R$64),"")</f>
        <v/>
      </c>
      <c r="N127" s="50" t="str">
        <f>IF(AND('Mapa final'!$AB$65="Media",'Mapa final'!$AD$65="Menor"),CONCATENATE("R22C",'Mapa final'!$R$65),"")</f>
        <v/>
      </c>
      <c r="O127" s="111" t="str">
        <f>IF(AND('Mapa final'!$AB$66="Media",'Mapa final'!$AD$66="Menor"),CONCATENATE("R22C",'Mapa final'!$R$66),"")</f>
        <v/>
      </c>
      <c r="P127" s="49" t="str">
        <f>IF(AND('Mapa final'!$AB$64="Media",'Mapa final'!$AD$64="Moderado"),CONCATENATE("R22C",'Mapa final'!$R$64),"")</f>
        <v/>
      </c>
      <c r="Q127" s="50" t="str">
        <f>IF(AND('Mapa final'!$AB$65="Media",'Mapa final'!$AD$65="Moderado"),CONCATENATE("R22C",'Mapa final'!$R$65),"")</f>
        <v/>
      </c>
      <c r="R127" s="111" t="str">
        <f>IF(AND('Mapa final'!$AB$66="Media",'Mapa final'!$AD$66="Moderado"),CONCATENATE("R22C",'Mapa final'!$R$66),"")</f>
        <v/>
      </c>
      <c r="S127" s="105" t="str">
        <f>IF(AND('Mapa final'!$AB$64="Media",'Mapa final'!$AD$64="Mayor"),CONCATENATE("R22C",'Mapa final'!$R$64),"")</f>
        <v/>
      </c>
      <c r="T127" s="42" t="str">
        <f>IF(AND('Mapa final'!$AB$65="Media",'Mapa final'!$AD$65="Mayor"),CONCATENATE("R22C",'Mapa final'!$R$65),"")</f>
        <v/>
      </c>
      <c r="U127" s="106" t="str">
        <f>IF(AND('Mapa final'!$AB$66="Media",'Mapa final'!$AD$66="Mayor"),CONCATENATE("R22C",'Mapa final'!$R$66),"")</f>
        <v/>
      </c>
      <c r="V127" s="43" t="str">
        <f>IF(AND('Mapa final'!$AB$64="Media",'Mapa final'!$AD$64="Catastrófico"),CONCATENATE("R22C",'Mapa final'!$R$64),"")</f>
        <v/>
      </c>
      <c r="W127" s="44" t="str">
        <f>IF(AND('Mapa final'!$AB$65="Media",'Mapa final'!$AD$65="Catastrófico"),CONCATENATE("R22C",'Mapa final'!$R$65),"")</f>
        <v/>
      </c>
      <c r="X127" s="100" t="str">
        <f>IF(AND('Mapa final'!$AB$66="Media",'Mapa final'!$AD$66="Catastrófico"),CONCATENATE("R22C",'Mapa final'!$R$66),"")</f>
        <v/>
      </c>
      <c r="Y127" s="56"/>
      <c r="Z127" s="318"/>
      <c r="AA127" s="319"/>
      <c r="AB127" s="319"/>
      <c r="AC127" s="319"/>
      <c r="AD127" s="319"/>
      <c r="AE127" s="320"/>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row>
    <row r="128" spans="1:61" ht="15" customHeight="1" x14ac:dyDescent="0.35">
      <c r="A128" s="56"/>
      <c r="B128" s="307"/>
      <c r="C128" s="307"/>
      <c r="D128" s="308"/>
      <c r="E128" s="284"/>
      <c r="F128" s="297"/>
      <c r="G128" s="297"/>
      <c r="H128" s="297"/>
      <c r="I128" s="279"/>
      <c r="J128" s="49" t="str">
        <f>IF(AND('Mapa final'!$AB$70="Media",'Mapa final'!$AD$70="Leve"),CONCATENATE("R23C",'Mapa final'!$R$70),"")</f>
        <v/>
      </c>
      <c r="K128" s="50" t="str">
        <f>IF(AND('Mapa final'!$AB$71="Media",'Mapa final'!$AD$71="Leve"),CONCATENATE("R23C",'Mapa final'!$R$71),"")</f>
        <v/>
      </c>
      <c r="L128" s="111" t="str">
        <f>IF(AND('Mapa final'!$AB$72="Media",'Mapa final'!$AD$72="Leve"),CONCATENATE("R23C",'Mapa final'!$R$72),"")</f>
        <v/>
      </c>
      <c r="M128" s="49" t="str">
        <f>IF(AND('Mapa final'!$AB$70="Media",'Mapa final'!$AD$70="Menor"),CONCATENATE("R23C",'Mapa final'!$R$70),"")</f>
        <v/>
      </c>
      <c r="N128" s="50" t="str">
        <f>IF(AND('Mapa final'!$AB$71="Media",'Mapa final'!$AD$71="Menor"),CONCATENATE("R23C",'Mapa final'!$R$71),"")</f>
        <v/>
      </c>
      <c r="O128" s="111" t="str">
        <f>IF(AND('Mapa final'!$AB$72="Media",'Mapa final'!$AD$72="Menor"),CONCATENATE("R23C",'Mapa final'!$R$72),"")</f>
        <v/>
      </c>
      <c r="P128" s="49" t="str">
        <f>IF(AND('Mapa final'!$AB$70="Media",'Mapa final'!$AD$70="Moderado"),CONCATENATE("R23C",'Mapa final'!$R$70),"")</f>
        <v/>
      </c>
      <c r="Q128" s="50" t="str">
        <f>IF(AND('Mapa final'!$AB$71="Media",'Mapa final'!$AD$71="Moderado"),CONCATENATE("R23C",'Mapa final'!$R$71),"")</f>
        <v/>
      </c>
      <c r="R128" s="111" t="str">
        <f>IF(AND('Mapa final'!$AB$72="Media",'Mapa final'!$AD$72="Moderado"),CONCATENATE("R23C",'Mapa final'!$R$72),"")</f>
        <v/>
      </c>
      <c r="S128" s="105" t="str">
        <f>IF(AND('Mapa final'!$AB$70="Media",'Mapa final'!$AD$70="Mayor"),CONCATENATE("R23C",'Mapa final'!$R$70),"")</f>
        <v/>
      </c>
      <c r="T128" s="42" t="str">
        <f>IF(AND('Mapa final'!$AB$71="Media",'Mapa final'!$AD$71="Mayor"),CONCATENATE("R23C",'Mapa final'!$R$71),"")</f>
        <v/>
      </c>
      <c r="U128" s="106" t="str">
        <f>IF(AND('Mapa final'!$AB$72="Media",'Mapa final'!$AD$72="Mayor"),CONCATENATE("R23C",'Mapa final'!$R$72),"")</f>
        <v/>
      </c>
      <c r="V128" s="43" t="str">
        <f>IF(AND('Mapa final'!$AB$70="Media",'Mapa final'!$AD$70="Catastrófico"),CONCATENATE("R23C",'Mapa final'!$R$70),"")</f>
        <v/>
      </c>
      <c r="W128" s="44" t="str">
        <f>IF(AND('Mapa final'!$AB$71="Media",'Mapa final'!$AD$71="Catastrófico"),CONCATENATE("R23C",'Mapa final'!$R$71),"")</f>
        <v/>
      </c>
      <c r="X128" s="100" t="str">
        <f>IF(AND('Mapa final'!$AB$72="Media",'Mapa final'!$AD$72="Catastrófico"),CONCATENATE("R23C",'Mapa final'!$R$72),"")</f>
        <v/>
      </c>
      <c r="Y128" s="56"/>
      <c r="Z128" s="318"/>
      <c r="AA128" s="319"/>
      <c r="AB128" s="319"/>
      <c r="AC128" s="319"/>
      <c r="AD128" s="319"/>
      <c r="AE128" s="320"/>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row>
    <row r="129" spans="1:61" ht="15" customHeight="1" x14ac:dyDescent="0.35">
      <c r="A129" s="56"/>
      <c r="B129" s="307"/>
      <c r="C129" s="307"/>
      <c r="D129" s="308"/>
      <c r="E129" s="284"/>
      <c r="F129" s="297"/>
      <c r="G129" s="297"/>
      <c r="H129" s="297"/>
      <c r="I129" s="279"/>
      <c r="J129" s="49" t="str">
        <f>IF(AND('Mapa final'!$AB$73="Media",'Mapa final'!$AD$73="Leve"),CONCATENATE("R24C",'Mapa final'!$R$73),"")</f>
        <v/>
      </c>
      <c r="K129" s="50" t="str">
        <f>IF(AND('Mapa final'!$AB$74="Media",'Mapa final'!$AD$74="Leve"),CONCATENATE("R24C",'Mapa final'!$R$74),"")</f>
        <v/>
      </c>
      <c r="L129" s="111" t="str">
        <f>IF(AND('Mapa final'!$AB$75="Media",'Mapa final'!$AD$75="Leve"),CONCATENATE("R24C",'Mapa final'!$R$75),"")</f>
        <v/>
      </c>
      <c r="M129" s="49" t="str">
        <f>IF(AND('Mapa final'!$AB$73="Media",'Mapa final'!$AD$73="Menor"),CONCATENATE("R24C",'Mapa final'!$R$73),"")</f>
        <v/>
      </c>
      <c r="N129" s="50" t="str">
        <f>IF(AND('Mapa final'!$AB$74="Media",'Mapa final'!$AD$74="Menor"),CONCATENATE("R24C",'Mapa final'!$R$74),"")</f>
        <v/>
      </c>
      <c r="O129" s="111" t="str">
        <f>IF(AND('Mapa final'!$AB$75="Media",'Mapa final'!$AD$75="Menor"),CONCATENATE("R24C",'Mapa final'!$R$75),"")</f>
        <v/>
      </c>
      <c r="P129" s="49" t="str">
        <f>IF(AND('Mapa final'!$AB$73="Media",'Mapa final'!$AD$73="Moderado"),CONCATENATE("R24C",'Mapa final'!$R$73),"")</f>
        <v/>
      </c>
      <c r="Q129" s="50" t="str">
        <f>IF(AND('Mapa final'!$AB$74="Media",'Mapa final'!$AD$74="Moderado"),CONCATENATE("R24C",'Mapa final'!$R$74),"")</f>
        <v/>
      </c>
      <c r="R129" s="111" t="str">
        <f>IF(AND('Mapa final'!$AB$75="Media",'Mapa final'!$AD$75="Moderado"),CONCATENATE("R24C",'Mapa final'!$R$75),"")</f>
        <v/>
      </c>
      <c r="S129" s="105" t="str">
        <f>IF(AND('Mapa final'!$AB$73="Media",'Mapa final'!$AD$73="Mayor"),CONCATENATE("R24C",'Mapa final'!$R$73),"")</f>
        <v/>
      </c>
      <c r="T129" s="42" t="str">
        <f>IF(AND('Mapa final'!$AB$74="Media",'Mapa final'!$AD$74="Mayor"),CONCATENATE("R24C",'Mapa final'!$R$74),"")</f>
        <v/>
      </c>
      <c r="U129" s="106" t="str">
        <f>IF(AND('Mapa final'!$AB$75="Media",'Mapa final'!$AD$75="Mayor"),CONCATENATE("R24C",'Mapa final'!$R$75),"")</f>
        <v/>
      </c>
      <c r="V129" s="43" t="str">
        <f>IF(AND('Mapa final'!$AB$73="Media",'Mapa final'!$AD$73="Catastrófico"),CONCATENATE("R24C",'Mapa final'!$R$73),"")</f>
        <v/>
      </c>
      <c r="W129" s="44" t="str">
        <f>IF(AND('Mapa final'!$AB$74="Media",'Mapa final'!$AD$74="Catastrófico"),CONCATENATE("R24C",'Mapa final'!$R$74),"")</f>
        <v/>
      </c>
      <c r="X129" s="100" t="str">
        <f>IF(AND('Mapa final'!$AB$75="Media",'Mapa final'!$AD$75="Catastrófico"),CONCATENATE("R24C",'Mapa final'!$R$75),"")</f>
        <v/>
      </c>
      <c r="Y129" s="56"/>
      <c r="Z129" s="318"/>
      <c r="AA129" s="319"/>
      <c r="AB129" s="319"/>
      <c r="AC129" s="319"/>
      <c r="AD129" s="319"/>
      <c r="AE129" s="320"/>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row>
    <row r="130" spans="1:61" ht="15" customHeight="1" x14ac:dyDescent="0.35">
      <c r="A130" s="56"/>
      <c r="B130" s="307"/>
      <c r="C130" s="307"/>
      <c r="D130" s="308"/>
      <c r="E130" s="284"/>
      <c r="F130" s="297"/>
      <c r="G130" s="297"/>
      <c r="H130" s="297"/>
      <c r="I130" s="279"/>
      <c r="J130" s="49" t="str">
        <f>IF(AND('Mapa final'!$AB$76="Media",'Mapa final'!$AD$76="Leve"),CONCATENATE("R25C",'Mapa final'!$R$76),"")</f>
        <v/>
      </c>
      <c r="K130" s="50" t="str">
        <f>IF(AND('Mapa final'!$AB$77="Media",'Mapa final'!$AD$77="Leve"),CONCATENATE("R25C",'Mapa final'!$R$77),"")</f>
        <v/>
      </c>
      <c r="L130" s="111" t="str">
        <f>IF(AND('Mapa final'!$AB$78="Media",'Mapa final'!$AD$78="Leve"),CONCATENATE("R25C",'Mapa final'!$R$78),"")</f>
        <v/>
      </c>
      <c r="M130" s="49" t="str">
        <f>IF(AND('Mapa final'!$AB$76="Media",'Mapa final'!$AD$76="Menor"),CONCATENATE("R25C",'Mapa final'!$R$76),"")</f>
        <v/>
      </c>
      <c r="N130" s="50" t="str">
        <f>IF(AND('Mapa final'!$AB$77="Media",'Mapa final'!$AD$77="Menor"),CONCATENATE("R25C",'Mapa final'!$R$77),"")</f>
        <v/>
      </c>
      <c r="O130" s="111" t="str">
        <f>IF(AND('Mapa final'!$AB$78="Media",'Mapa final'!$AD$78="Menor"),CONCATENATE("R25C",'Mapa final'!$R$78),"")</f>
        <v/>
      </c>
      <c r="P130" s="49" t="str">
        <f>IF(AND('Mapa final'!$AB$76="Media",'Mapa final'!$AD$76="Moderado"),CONCATENATE("R25C",'Mapa final'!$R$76),"")</f>
        <v/>
      </c>
      <c r="Q130" s="50" t="str">
        <f>IF(AND('Mapa final'!$AB$77="Media",'Mapa final'!$AD$77="Moderado"),CONCATENATE("R25C",'Mapa final'!$R$77),"")</f>
        <v/>
      </c>
      <c r="R130" s="111" t="str">
        <f>IF(AND('Mapa final'!$AB$78="Media",'Mapa final'!$AD$78="Moderado"),CONCATENATE("R25C",'Mapa final'!$R$78),"")</f>
        <v/>
      </c>
      <c r="S130" s="105" t="str">
        <f>IF(AND('Mapa final'!$AB$76="Media",'Mapa final'!$AD$76="Mayor"),CONCATENATE("R25C",'Mapa final'!$R$76),"")</f>
        <v/>
      </c>
      <c r="T130" s="42" t="str">
        <f>IF(AND('Mapa final'!$AB$77="Media",'Mapa final'!$AD$77="Mayor"),CONCATENATE("R25C",'Mapa final'!$R$77),"")</f>
        <v/>
      </c>
      <c r="U130" s="106" t="str">
        <f>IF(AND('Mapa final'!$AB$78="Media",'Mapa final'!$AD$78="Mayor"),CONCATENATE("R25C",'Mapa final'!$R$78),"")</f>
        <v/>
      </c>
      <c r="V130" s="43" t="str">
        <f>IF(AND('Mapa final'!$AB$76="Media",'Mapa final'!$AD$76="Catastrófico"),CONCATENATE("R25C",'Mapa final'!$R$76),"")</f>
        <v/>
      </c>
      <c r="W130" s="44" t="str">
        <f>IF(AND('Mapa final'!$AB$77="Media",'Mapa final'!$AD$77="Catastrófico"),CONCATENATE("R25C",'Mapa final'!$R$77),"")</f>
        <v/>
      </c>
      <c r="X130" s="100" t="str">
        <f>IF(AND('Mapa final'!$AB$78="Media",'Mapa final'!$AD$78="Catastrófico"),CONCATENATE("R25C",'Mapa final'!$R$78),"")</f>
        <v/>
      </c>
      <c r="Y130" s="56"/>
      <c r="Z130" s="318"/>
      <c r="AA130" s="319"/>
      <c r="AB130" s="319"/>
      <c r="AC130" s="319"/>
      <c r="AD130" s="319"/>
      <c r="AE130" s="320"/>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row>
    <row r="131" spans="1:61" ht="15" customHeight="1" x14ac:dyDescent="0.35">
      <c r="A131" s="56"/>
      <c r="B131" s="307"/>
      <c r="C131" s="307"/>
      <c r="D131" s="308"/>
      <c r="E131" s="284"/>
      <c r="F131" s="297"/>
      <c r="G131" s="297"/>
      <c r="H131" s="297"/>
      <c r="I131" s="279"/>
      <c r="J131" s="49" t="str">
        <f>IF(AND('Mapa final'!$AB$79="Media",'Mapa final'!$AD$79="Leve"),CONCATENATE("R26C",'Mapa final'!$R$79),"")</f>
        <v/>
      </c>
      <c r="K131" s="50" t="str">
        <f>IF(AND('Mapa final'!$AB$80="Media",'Mapa final'!$AD$80="Leve"),CONCATENATE("R26C",'Mapa final'!$R$80),"")</f>
        <v/>
      </c>
      <c r="L131" s="111" t="str">
        <f>IF(AND('Mapa final'!$AB$81="Media",'Mapa final'!$AD$81="Leve"),CONCATENATE("R26C",'Mapa final'!$R$81),"")</f>
        <v/>
      </c>
      <c r="M131" s="49" t="str">
        <f>IF(AND('Mapa final'!$AB$79="Media",'Mapa final'!$AD$79="Menor"),CONCATENATE("R26C",'Mapa final'!$R$79),"")</f>
        <v/>
      </c>
      <c r="N131" s="50" t="str">
        <f>IF(AND('Mapa final'!$AB$80="Media",'Mapa final'!$AD$80="Menor"),CONCATENATE("R26C",'Mapa final'!$R$80),"")</f>
        <v/>
      </c>
      <c r="O131" s="111" t="str">
        <f>IF(AND('Mapa final'!$AB$81="Media",'Mapa final'!$AD$81="Menor"),CONCATENATE("R26C",'Mapa final'!$R$81),"")</f>
        <v/>
      </c>
      <c r="P131" s="49" t="str">
        <f>IF(AND('Mapa final'!$AB$79="Media",'Mapa final'!$AD$79="Moderado"),CONCATENATE("R26C",'Mapa final'!$R$79),"")</f>
        <v/>
      </c>
      <c r="Q131" s="50" t="str">
        <f>IF(AND('Mapa final'!$AB$80="Media",'Mapa final'!$AD$80="Moderado"),CONCATENATE("R26C",'Mapa final'!$R$80),"")</f>
        <v/>
      </c>
      <c r="R131" s="111" t="str">
        <f>IF(AND('Mapa final'!$AB$81="Media",'Mapa final'!$AD$81="Moderado"),CONCATENATE("R26C",'Mapa final'!$R$81),"")</f>
        <v/>
      </c>
      <c r="S131" s="105" t="str">
        <f>IF(AND('Mapa final'!$AB$79="Media",'Mapa final'!$AD$79="Mayor"),CONCATENATE("R26C",'Mapa final'!$R$79),"")</f>
        <v/>
      </c>
      <c r="T131" s="42" t="str">
        <f>IF(AND('Mapa final'!$AB$80="Media",'Mapa final'!$AD$80="Mayor"),CONCATENATE("R26C",'Mapa final'!$R$80),"")</f>
        <v/>
      </c>
      <c r="U131" s="106" t="str">
        <f>IF(AND('Mapa final'!$AB$81="Media",'Mapa final'!$AD$81="Mayor"),CONCATENATE("R26C",'Mapa final'!$R$81),"")</f>
        <v/>
      </c>
      <c r="V131" s="43" t="str">
        <f>IF(AND('Mapa final'!$AB$79="Media",'Mapa final'!$AD$79="Catastrófico"),CONCATENATE("R26C",'Mapa final'!$R$79),"")</f>
        <v/>
      </c>
      <c r="W131" s="44" t="str">
        <f>IF(AND('Mapa final'!$AB$80="Media",'Mapa final'!$AD$80="Catastrófico"),CONCATENATE("R26C",'Mapa final'!$R$80),"")</f>
        <v/>
      </c>
      <c r="X131" s="100" t="str">
        <f>IF(AND('Mapa final'!$AB$81="Media",'Mapa final'!$AD$81="Catastrófico"),CONCATENATE("R26C",'Mapa final'!$R$81),"")</f>
        <v/>
      </c>
      <c r="Y131" s="56"/>
      <c r="Z131" s="318"/>
      <c r="AA131" s="319"/>
      <c r="AB131" s="319"/>
      <c r="AC131" s="319"/>
      <c r="AD131" s="319"/>
      <c r="AE131" s="320"/>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row>
    <row r="132" spans="1:61" ht="15" customHeight="1" x14ac:dyDescent="0.35">
      <c r="A132" s="56"/>
      <c r="B132" s="307"/>
      <c r="C132" s="307"/>
      <c r="D132" s="308"/>
      <c r="E132" s="284"/>
      <c r="F132" s="297"/>
      <c r="G132" s="297"/>
      <c r="H132" s="297"/>
      <c r="I132" s="279"/>
      <c r="J132" s="49" t="str">
        <f>IF(AND('Mapa final'!$AB$82="Media",'Mapa final'!$AD$82="Leve"),CONCATENATE("R27C",'Mapa final'!$R$82),"")</f>
        <v/>
      </c>
      <c r="K132" s="50" t="str">
        <f>IF(AND('Mapa final'!$AB$83="Media",'Mapa final'!$AD$83="Leve"),CONCATENATE("R27C",'Mapa final'!$R$83),"")</f>
        <v/>
      </c>
      <c r="L132" s="111" t="str">
        <f>IF(AND('Mapa final'!$AB$84="Media",'Mapa final'!$AD$84="Leve"),CONCATENATE("R27C",'Mapa final'!$R$84),"")</f>
        <v/>
      </c>
      <c r="M132" s="49" t="str">
        <f>IF(AND('Mapa final'!$AB$82="Media",'Mapa final'!$AD$82="Menor"),CONCATENATE("R27C",'Mapa final'!$R$82),"")</f>
        <v/>
      </c>
      <c r="N132" s="50" t="str">
        <f>IF(AND('Mapa final'!$AB$83="Media",'Mapa final'!$AD$83="Menor"),CONCATENATE("R27C",'Mapa final'!$R$83),"")</f>
        <v/>
      </c>
      <c r="O132" s="111" t="str">
        <f>IF(AND('Mapa final'!$AB$84="Media",'Mapa final'!$AD$84="Menor"),CONCATENATE("R27C",'Mapa final'!$R$84),"")</f>
        <v/>
      </c>
      <c r="P132" s="49" t="str">
        <f>IF(AND('Mapa final'!$AB$82="Media",'Mapa final'!$AD$82="Moderado"),CONCATENATE("R27C",'Mapa final'!$R$82),"")</f>
        <v/>
      </c>
      <c r="Q132" s="50" t="str">
        <f>IF(AND('Mapa final'!$AB$83="Media",'Mapa final'!$AD$83="Moderado"),CONCATENATE("R27C",'Mapa final'!$R$83),"")</f>
        <v/>
      </c>
      <c r="R132" s="111" t="str">
        <f>IF(AND('Mapa final'!$AB$84="Media",'Mapa final'!$AD$84="Moderado"),CONCATENATE("R27C",'Mapa final'!$R$84),"")</f>
        <v/>
      </c>
      <c r="S132" s="105" t="str">
        <f>IF(AND('Mapa final'!$AB$82="Media",'Mapa final'!$AD$82="Mayor"),CONCATENATE("R27C",'Mapa final'!$R$82),"")</f>
        <v/>
      </c>
      <c r="T132" s="42" t="str">
        <f>IF(AND('Mapa final'!$AB$83="Media",'Mapa final'!$AD$83="Mayor"),CONCATENATE("R27C",'Mapa final'!$R$83),"")</f>
        <v/>
      </c>
      <c r="U132" s="106" t="str">
        <f>IF(AND('Mapa final'!$AB$84="Media",'Mapa final'!$AD$84="Mayor"),CONCATENATE("R27C",'Mapa final'!$R$84),"")</f>
        <v/>
      </c>
      <c r="V132" s="43" t="str">
        <f>IF(AND('Mapa final'!$AB$82="Media",'Mapa final'!$AD$82="Catastrófico"),CONCATENATE("R27C",'Mapa final'!$R$82),"")</f>
        <v/>
      </c>
      <c r="W132" s="44" t="str">
        <f>IF(AND('Mapa final'!$AB$83="Media",'Mapa final'!$AD$83="Catastrófico"),CONCATENATE("R27C",'Mapa final'!$R$83),"")</f>
        <v/>
      </c>
      <c r="X132" s="100" t="str">
        <f>IF(AND('Mapa final'!$AB$84="Media",'Mapa final'!$AD$84="Catastrófico"),CONCATENATE("R27C",'Mapa final'!$R$84),"")</f>
        <v/>
      </c>
      <c r="Y132" s="56"/>
      <c r="Z132" s="318"/>
      <c r="AA132" s="319"/>
      <c r="AB132" s="319"/>
      <c r="AC132" s="319"/>
      <c r="AD132" s="319"/>
      <c r="AE132" s="320"/>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row>
    <row r="133" spans="1:61" ht="15" customHeight="1" x14ac:dyDescent="0.35">
      <c r="A133" s="56"/>
      <c r="B133" s="307"/>
      <c r="C133" s="307"/>
      <c r="D133" s="308"/>
      <c r="E133" s="284"/>
      <c r="F133" s="297"/>
      <c r="G133" s="297"/>
      <c r="H133" s="297"/>
      <c r="I133" s="279"/>
      <c r="J133" s="49" t="str">
        <f>IF(AND('Mapa final'!$AB$85="Media",'Mapa final'!$AD$85="Leve"),CONCATENATE("R28C",'Mapa final'!$R$85),"")</f>
        <v/>
      </c>
      <c r="K133" s="50" t="str">
        <f>IF(AND('Mapa final'!$AB$86="Media",'Mapa final'!$AD$86="Leve"),CONCATENATE("R28C",'Mapa final'!$R$86),"")</f>
        <v/>
      </c>
      <c r="L133" s="111" t="str">
        <f>IF(AND('Mapa final'!$AB$87="Media",'Mapa final'!$AD$87="Leve"),CONCATENATE("R28C",'Mapa final'!$R$87),"")</f>
        <v/>
      </c>
      <c r="M133" s="49" t="str">
        <f>IF(AND('Mapa final'!$AB$85="Media",'Mapa final'!$AD$85="Menor"),CONCATENATE("R28C",'Mapa final'!$R$85),"")</f>
        <v/>
      </c>
      <c r="N133" s="50" t="str">
        <f>IF(AND('Mapa final'!$AB$86="Media",'Mapa final'!$AD$86="Menor"),CONCATENATE("R28C",'Mapa final'!$R$86),"")</f>
        <v/>
      </c>
      <c r="O133" s="111" t="str">
        <f>IF(AND('Mapa final'!$AB$87="Media",'Mapa final'!$AD$87="Menor"),CONCATENATE("R28C",'Mapa final'!$R$87),"")</f>
        <v/>
      </c>
      <c r="P133" s="49" t="str">
        <f>IF(AND('Mapa final'!$AB$85="Media",'Mapa final'!$AD$85="Moderado"),CONCATENATE("R28C",'Mapa final'!$R$85),"")</f>
        <v/>
      </c>
      <c r="Q133" s="50" t="str">
        <f>IF(AND('Mapa final'!$AB$86="Media",'Mapa final'!$AD$86="Moderado"),CONCATENATE("R28C",'Mapa final'!$R$86),"")</f>
        <v/>
      </c>
      <c r="R133" s="111" t="str">
        <f>IF(AND('Mapa final'!$AB$87="Media",'Mapa final'!$AD$87="Moderado"),CONCATENATE("R28C",'Mapa final'!$R$87),"")</f>
        <v/>
      </c>
      <c r="S133" s="105" t="str">
        <f>IF(AND('Mapa final'!$AB$85="Media",'Mapa final'!$AD$85="Mayor"),CONCATENATE("R28C",'Mapa final'!$R$85),"")</f>
        <v/>
      </c>
      <c r="T133" s="42" t="str">
        <f>IF(AND('Mapa final'!$AB$86="Media",'Mapa final'!$AD$86="Mayor"),CONCATENATE("R28C",'Mapa final'!$R$86),"")</f>
        <v/>
      </c>
      <c r="U133" s="106" t="str">
        <f>IF(AND('Mapa final'!$AB$87="Media",'Mapa final'!$AD$87="Mayor"),CONCATENATE("R28C",'Mapa final'!$R$87),"")</f>
        <v/>
      </c>
      <c r="V133" s="43" t="str">
        <f>IF(AND('Mapa final'!$AB$85="Media",'Mapa final'!$AD$85="Catastrófico"),CONCATENATE("R28C",'Mapa final'!$R$85),"")</f>
        <v/>
      </c>
      <c r="W133" s="44" t="str">
        <f>IF(AND('Mapa final'!$AB$86="Media",'Mapa final'!$AD$86="Catastrófico"),CONCATENATE("R28C",'Mapa final'!$R$86),"")</f>
        <v/>
      </c>
      <c r="X133" s="100" t="str">
        <f>IF(AND('Mapa final'!$AB$87="Media",'Mapa final'!$AD$87="Catastrófico"),CONCATENATE("R28C",'Mapa final'!$R$87),"")</f>
        <v/>
      </c>
      <c r="Y133" s="56"/>
      <c r="Z133" s="318"/>
      <c r="AA133" s="319"/>
      <c r="AB133" s="319"/>
      <c r="AC133" s="319"/>
      <c r="AD133" s="319"/>
      <c r="AE133" s="320"/>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row>
    <row r="134" spans="1:61" ht="15" customHeight="1" x14ac:dyDescent="0.35">
      <c r="A134" s="56"/>
      <c r="B134" s="307"/>
      <c r="C134" s="307"/>
      <c r="D134" s="308"/>
      <c r="E134" s="284"/>
      <c r="F134" s="297"/>
      <c r="G134" s="297"/>
      <c r="H134" s="297"/>
      <c r="I134" s="279"/>
      <c r="J134" s="49" t="str">
        <f>IF(AND('Mapa final'!$AB$88="Media",'Mapa final'!$AD$88="Leve"),CONCATENATE("R29C",'Mapa final'!$R$88),"")</f>
        <v/>
      </c>
      <c r="K134" s="50" t="str">
        <f>IF(AND('Mapa final'!$AB$89="Media",'Mapa final'!$AD$89="Leve"),CONCATENATE("R29C",'Mapa final'!$R$89),"")</f>
        <v/>
      </c>
      <c r="L134" s="111" t="str">
        <f>IF(AND('Mapa final'!$AB$90="Media",'Mapa final'!$AD$90="Leve"),CONCATENATE("R29C",'Mapa final'!$R$90),"")</f>
        <v/>
      </c>
      <c r="M134" s="49" t="str">
        <f>IF(AND('Mapa final'!$AB$88="Media",'Mapa final'!$AD$88="Menor"),CONCATENATE("R29C",'Mapa final'!$R$88),"")</f>
        <v/>
      </c>
      <c r="N134" s="50" t="str">
        <f>IF(AND('Mapa final'!$AB$89="Media",'Mapa final'!$AD$89="Menor"),CONCATENATE("R29C",'Mapa final'!$R$89),"")</f>
        <v/>
      </c>
      <c r="O134" s="111" t="str">
        <f>IF(AND('Mapa final'!$AB$90="Media",'Mapa final'!$AD$90="Menor"),CONCATENATE("R29C",'Mapa final'!$R$90),"")</f>
        <v/>
      </c>
      <c r="P134" s="49" t="str">
        <f>IF(AND('Mapa final'!$AB$88="Media",'Mapa final'!$AD$88="Moderado"),CONCATENATE("R29C",'Mapa final'!$R$88),"")</f>
        <v/>
      </c>
      <c r="Q134" s="50" t="str">
        <f>IF(AND('Mapa final'!$AB$89="Media",'Mapa final'!$AD$89="Moderado"),CONCATENATE("R29C",'Mapa final'!$R$89),"")</f>
        <v/>
      </c>
      <c r="R134" s="111" t="str">
        <f>IF(AND('Mapa final'!$AB$90="Media",'Mapa final'!$AD$90="Moderado"),CONCATENATE("R29C",'Mapa final'!$R$90),"")</f>
        <v/>
      </c>
      <c r="S134" s="105" t="str">
        <f>IF(AND('Mapa final'!$AB$88="Media",'Mapa final'!$AD$88="Mayor"),CONCATENATE("R29C",'Mapa final'!$R$88),"")</f>
        <v/>
      </c>
      <c r="T134" s="42" t="str">
        <f>IF(AND('Mapa final'!$AB$89="Media",'Mapa final'!$AD$89="Mayor"),CONCATENATE("R29C",'Mapa final'!$R$89),"")</f>
        <v/>
      </c>
      <c r="U134" s="106" t="str">
        <f>IF(AND('Mapa final'!$AB$90="Media",'Mapa final'!$AD$90="Mayor"),CONCATENATE("R29C",'Mapa final'!$R$90),"")</f>
        <v/>
      </c>
      <c r="V134" s="43" t="str">
        <f>IF(AND('Mapa final'!$AB$88="Media",'Mapa final'!$AD$88="Catastrófico"),CONCATENATE("R29C",'Mapa final'!$R$88),"")</f>
        <v/>
      </c>
      <c r="W134" s="44" t="str">
        <f>IF(AND('Mapa final'!$AB$89="Media",'Mapa final'!$AD$89="Catastrófico"),CONCATENATE("R29C",'Mapa final'!$R$89),"")</f>
        <v/>
      </c>
      <c r="X134" s="100" t="str">
        <f>IF(AND('Mapa final'!$AB$90="Media",'Mapa final'!$AD$90="Catastrófico"),CONCATENATE("R29C",'Mapa final'!$R$90),"")</f>
        <v/>
      </c>
      <c r="Y134" s="56"/>
      <c r="Z134" s="318"/>
      <c r="AA134" s="319"/>
      <c r="AB134" s="319"/>
      <c r="AC134" s="319"/>
      <c r="AD134" s="319"/>
      <c r="AE134" s="320"/>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row>
    <row r="135" spans="1:61" ht="15" customHeight="1" x14ac:dyDescent="0.35">
      <c r="A135" s="56"/>
      <c r="B135" s="307"/>
      <c r="C135" s="307"/>
      <c r="D135" s="308"/>
      <c r="E135" s="284"/>
      <c r="F135" s="297"/>
      <c r="G135" s="297"/>
      <c r="H135" s="297"/>
      <c r="I135" s="279"/>
      <c r="J135" s="49" t="str">
        <f>IF(AND('Mapa final'!$AB$91="Media",'Mapa final'!$AD$91="Leve"),CONCATENATE("R30C",'Mapa final'!$R$91),"")</f>
        <v/>
      </c>
      <c r="K135" s="50" t="str">
        <f>IF(AND('Mapa final'!$AB$92="Media",'Mapa final'!$AD$92="Leve"),CONCATENATE("R30C",'Mapa final'!$R$92),"")</f>
        <v/>
      </c>
      <c r="L135" s="111" t="str">
        <f>IF(AND('Mapa final'!$AB$93="Media",'Mapa final'!$AD$93="Leve"),CONCATENATE("R30C",'Mapa final'!$R$93),"")</f>
        <v/>
      </c>
      <c r="M135" s="49" t="str">
        <f>IF(AND('Mapa final'!$AB$91="Media",'Mapa final'!$AD$91="Menor"),CONCATENATE("R30C",'Mapa final'!$R$91),"")</f>
        <v/>
      </c>
      <c r="N135" s="50" t="str">
        <f>IF(AND('Mapa final'!$AB$92="Media",'Mapa final'!$AD$92="Menor"),CONCATENATE("R30C",'Mapa final'!$R$92),"")</f>
        <v/>
      </c>
      <c r="O135" s="111" t="str">
        <f>IF(AND('Mapa final'!$AB$93="Media",'Mapa final'!$AD$93="Menor"),CONCATENATE("R30C",'Mapa final'!$R$93),"")</f>
        <v/>
      </c>
      <c r="P135" s="49" t="str">
        <f>IF(AND('Mapa final'!$AB$91="Media",'Mapa final'!$AD$91="Moderado"),CONCATENATE("R30C",'Mapa final'!$R$91),"")</f>
        <v/>
      </c>
      <c r="Q135" s="50" t="str">
        <f>IF(AND('Mapa final'!$AB$92="Media",'Mapa final'!$AD$92="Moderado"),CONCATENATE("R30C",'Mapa final'!$R$92),"")</f>
        <v/>
      </c>
      <c r="R135" s="111" t="str">
        <f>IF(AND('Mapa final'!$AB$93="Media",'Mapa final'!$AD$93="Moderado"),CONCATENATE("R30C",'Mapa final'!$R$93),"")</f>
        <v/>
      </c>
      <c r="S135" s="105" t="str">
        <f>IF(AND('Mapa final'!$AB$91="Media",'Mapa final'!$AD$91="Mayor"),CONCATENATE("R30C",'Mapa final'!$R$91),"")</f>
        <v>R30C1</v>
      </c>
      <c r="T135" s="42" t="str">
        <f>IF(AND('Mapa final'!$AB$92="Media",'Mapa final'!$AD$92="Mayor"),CONCATENATE("R30C",'Mapa final'!$R$92),"")</f>
        <v/>
      </c>
      <c r="U135" s="106" t="str">
        <f>IF(AND('Mapa final'!$AB$93="Media",'Mapa final'!$AD$93="Mayor"),CONCATENATE("R30C",'Mapa final'!$R$93),"")</f>
        <v/>
      </c>
      <c r="V135" s="43" t="str">
        <f>IF(AND('Mapa final'!$AB$91="Media",'Mapa final'!$AD$91="Catastrófico"),CONCATENATE("R30C",'Mapa final'!$R$91),"")</f>
        <v/>
      </c>
      <c r="W135" s="44" t="str">
        <f>IF(AND('Mapa final'!$AB$92="Media",'Mapa final'!$AD$92="Catastrófico"),CONCATENATE("R30C",'Mapa final'!$R$92),"")</f>
        <v/>
      </c>
      <c r="X135" s="100" t="str">
        <f>IF(AND('Mapa final'!$AB$93="Media",'Mapa final'!$AD$93="Catastrófico"),CONCATENATE("R30C",'Mapa final'!$R$93),"")</f>
        <v/>
      </c>
      <c r="Y135" s="56"/>
      <c r="Z135" s="318"/>
      <c r="AA135" s="319"/>
      <c r="AB135" s="319"/>
      <c r="AC135" s="319"/>
      <c r="AD135" s="319"/>
      <c r="AE135" s="320"/>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row>
    <row r="136" spans="1:61" ht="15" customHeight="1" x14ac:dyDescent="0.35">
      <c r="A136" s="56"/>
      <c r="B136" s="307"/>
      <c r="C136" s="307"/>
      <c r="D136" s="308"/>
      <c r="E136" s="284"/>
      <c r="F136" s="297"/>
      <c r="G136" s="297"/>
      <c r="H136" s="297"/>
      <c r="I136" s="279"/>
      <c r="J136" s="49" t="str">
        <f>IF(AND('Mapa final'!$AB$94="Media",'Mapa final'!$AD$94="Leve"),CONCATENATE("R31C",'Mapa final'!$R$94),"")</f>
        <v/>
      </c>
      <c r="K136" s="50" t="str">
        <f>IF(AND('Mapa final'!$AB$95="Media",'Mapa final'!$AD$95="Leve"),CONCATENATE("R31C",'Mapa final'!$R$95),"")</f>
        <v/>
      </c>
      <c r="L136" s="111" t="str">
        <f>IF(AND('Mapa final'!$AB$96="Media",'Mapa final'!$AD$96="Leve"),CONCATENATE("R31C",'Mapa final'!$R$96),"")</f>
        <v/>
      </c>
      <c r="M136" s="49" t="str">
        <f>IF(AND('Mapa final'!$AB$94="Media",'Mapa final'!$AD$94="Menor"),CONCATENATE("R31C",'Mapa final'!$R$94),"")</f>
        <v/>
      </c>
      <c r="N136" s="50" t="str">
        <f>IF(AND('Mapa final'!$AB$95="Media",'Mapa final'!$AD$95="Menor"),CONCATENATE("R31C",'Mapa final'!$R$95),"")</f>
        <v/>
      </c>
      <c r="O136" s="111" t="str">
        <f>IF(AND('Mapa final'!$AB$96="Media",'Mapa final'!$AD$96="Menor"),CONCATENATE("R31C",'Mapa final'!$R$96),"")</f>
        <v/>
      </c>
      <c r="P136" s="49" t="str">
        <f>IF(AND('Mapa final'!$AB$94="Media",'Mapa final'!$AD$94="Moderado"),CONCATENATE("R31C",'Mapa final'!$R$94),"")</f>
        <v/>
      </c>
      <c r="Q136" s="50" t="str">
        <f>IF(AND('Mapa final'!$AB$95="Media",'Mapa final'!$AD$95="Moderado"),CONCATENATE("R31C",'Mapa final'!$R$95),"")</f>
        <v/>
      </c>
      <c r="R136" s="111" t="str">
        <f>IF(AND('Mapa final'!$AB$96="Media",'Mapa final'!$AD$96="Moderado"),CONCATENATE("R31C",'Mapa final'!$R$96),"")</f>
        <v/>
      </c>
      <c r="S136" s="105" t="str">
        <f>IF(AND('Mapa final'!$AB$94="Media",'Mapa final'!$AD$94="Mayor"),CONCATENATE("R31C",'Mapa final'!$R$94),"")</f>
        <v/>
      </c>
      <c r="T136" s="42" t="str">
        <f>IF(AND('Mapa final'!$AB$95="Media",'Mapa final'!$AD$95="Mayor"),CONCATENATE("R31C",'Mapa final'!$R$95),"")</f>
        <v/>
      </c>
      <c r="U136" s="106" t="str">
        <f>IF(AND('Mapa final'!$AB$96="Media",'Mapa final'!$AD$96="Mayor"),CONCATENATE("R31C",'Mapa final'!$R$96),"")</f>
        <v/>
      </c>
      <c r="V136" s="43" t="str">
        <f>IF(AND('Mapa final'!$AB$94="Media",'Mapa final'!$AD$94="Catastrófico"),CONCATENATE("R31C",'Mapa final'!$R$94),"")</f>
        <v/>
      </c>
      <c r="W136" s="44" t="str">
        <f>IF(AND('Mapa final'!$AB$95="Media",'Mapa final'!$AD$95="Catastrófico"),CONCATENATE("R31C",'Mapa final'!$R$95),"")</f>
        <v/>
      </c>
      <c r="X136" s="100" t="str">
        <f>IF(AND('Mapa final'!$AB$96="Media",'Mapa final'!$AD$96="Catastrófico"),CONCATENATE("R31C",'Mapa final'!$R$96),"")</f>
        <v/>
      </c>
      <c r="Y136" s="56"/>
      <c r="Z136" s="318"/>
      <c r="AA136" s="319"/>
      <c r="AB136" s="319"/>
      <c r="AC136" s="319"/>
      <c r="AD136" s="319"/>
      <c r="AE136" s="320"/>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row>
    <row r="137" spans="1:61" ht="15" customHeight="1" x14ac:dyDescent="0.35">
      <c r="A137" s="56"/>
      <c r="B137" s="307"/>
      <c r="C137" s="307"/>
      <c r="D137" s="308"/>
      <c r="E137" s="284"/>
      <c r="F137" s="297"/>
      <c r="G137" s="297"/>
      <c r="H137" s="297"/>
      <c r="I137" s="279"/>
      <c r="J137" s="49" t="e">
        <f>IF(AND('Mapa final'!#REF!="Media",'Mapa final'!#REF!="Leve"),CONCATENATE("R32C",'Mapa final'!#REF!),"")</f>
        <v>#REF!</v>
      </c>
      <c r="K137" s="50" t="e">
        <f>IF(AND('Mapa final'!#REF!="Media",'Mapa final'!#REF!="Leve"),CONCATENATE("R32C",'Mapa final'!#REF!),"")</f>
        <v>#REF!</v>
      </c>
      <c r="L137" s="111" t="e">
        <f>IF(AND('Mapa final'!#REF!="Media",'Mapa final'!#REF!="Leve"),CONCATENATE("R32C",'Mapa final'!#REF!),"")</f>
        <v>#REF!</v>
      </c>
      <c r="M137" s="49" t="e">
        <f>IF(AND('Mapa final'!#REF!="Media",'Mapa final'!#REF!="Menor"),CONCATENATE("R32C",'Mapa final'!#REF!),"")</f>
        <v>#REF!</v>
      </c>
      <c r="N137" s="50" t="e">
        <f>IF(AND('Mapa final'!#REF!="Media",'Mapa final'!#REF!="Menor"),CONCATENATE("R32C",'Mapa final'!#REF!),"")</f>
        <v>#REF!</v>
      </c>
      <c r="O137" s="111" t="e">
        <f>IF(AND('Mapa final'!#REF!="Media",'Mapa final'!#REF!="Menor"),CONCATENATE("R32C",'Mapa final'!#REF!),"")</f>
        <v>#REF!</v>
      </c>
      <c r="P137" s="49" t="e">
        <f>IF(AND('Mapa final'!#REF!="Media",'Mapa final'!#REF!="Moderado"),CONCATENATE("R32C",'Mapa final'!#REF!),"")</f>
        <v>#REF!</v>
      </c>
      <c r="Q137" s="50" t="e">
        <f>IF(AND('Mapa final'!#REF!="Media",'Mapa final'!#REF!="Moderado"),CONCATENATE("R32C",'Mapa final'!#REF!),"")</f>
        <v>#REF!</v>
      </c>
      <c r="R137" s="111" t="e">
        <f>IF(AND('Mapa final'!#REF!="Media",'Mapa final'!#REF!="Moderado"),CONCATENATE("R32C",'Mapa final'!#REF!),"")</f>
        <v>#REF!</v>
      </c>
      <c r="S137" s="105" t="e">
        <f>IF(AND('Mapa final'!#REF!="Media",'Mapa final'!#REF!="Mayor"),CONCATENATE("R32C",'Mapa final'!#REF!),"")</f>
        <v>#REF!</v>
      </c>
      <c r="T137" s="42" t="e">
        <f>IF(AND('Mapa final'!#REF!="Media",'Mapa final'!#REF!="Mayor"),CONCATENATE("R32C",'Mapa final'!#REF!),"")</f>
        <v>#REF!</v>
      </c>
      <c r="U137" s="106" t="e">
        <f>IF(AND('Mapa final'!#REF!="Media",'Mapa final'!#REF!="Mayor"),CONCATENATE("R32C",'Mapa final'!#REF!),"")</f>
        <v>#REF!</v>
      </c>
      <c r="V137" s="43" t="e">
        <f>IF(AND('Mapa final'!#REF!="Media",'Mapa final'!#REF!="Catastrófico"),CONCATENATE("R32C",'Mapa final'!#REF!),"")</f>
        <v>#REF!</v>
      </c>
      <c r="W137" s="44" t="e">
        <f>IF(AND('Mapa final'!#REF!="Media",'Mapa final'!#REF!="Catastrófico"),CONCATENATE("R32C",'Mapa final'!#REF!),"")</f>
        <v>#REF!</v>
      </c>
      <c r="X137" s="100" t="e">
        <f>IF(AND('Mapa final'!#REF!="Media",'Mapa final'!#REF!="Catastrófico"),CONCATENATE("R32C",'Mapa final'!#REF!),"")</f>
        <v>#REF!</v>
      </c>
      <c r="Y137" s="56"/>
      <c r="Z137" s="318"/>
      <c r="AA137" s="319"/>
      <c r="AB137" s="319"/>
      <c r="AC137" s="319"/>
      <c r="AD137" s="319"/>
      <c r="AE137" s="320"/>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row>
    <row r="138" spans="1:61" ht="15" customHeight="1" x14ac:dyDescent="0.35">
      <c r="A138" s="56"/>
      <c r="B138" s="307"/>
      <c r="C138" s="307"/>
      <c r="D138" s="308"/>
      <c r="E138" s="284"/>
      <c r="F138" s="297"/>
      <c r="G138" s="297"/>
      <c r="H138" s="297"/>
      <c r="I138" s="279"/>
      <c r="J138" s="49" t="str">
        <f>IF(AND('Mapa final'!$AB$97="Media",'Mapa final'!$AD$97="Leve"),CONCATENATE("R33C",'Mapa final'!$R$97),"")</f>
        <v/>
      </c>
      <c r="K138" s="50" t="str">
        <f>IF(AND('Mapa final'!$AB$98="Media",'Mapa final'!$AD$98="Leve"),CONCATENATE("R33C",'Mapa final'!$R$98),"")</f>
        <v/>
      </c>
      <c r="L138" s="111" t="str">
        <f>IF(AND('Mapa final'!$AB$99="Media",'Mapa final'!$AD$99="Leve"),CONCATENATE("R33C",'Mapa final'!$R$99),"")</f>
        <v/>
      </c>
      <c r="M138" s="49" t="str">
        <f>IF(AND('Mapa final'!$AB$97="Media",'Mapa final'!$AD$97="Menor"),CONCATENATE("R33C",'Mapa final'!$R$97),"")</f>
        <v/>
      </c>
      <c r="N138" s="50" t="str">
        <f>IF(AND('Mapa final'!$AB$98="Media",'Mapa final'!$AD$98="Menor"),CONCATENATE("R33C",'Mapa final'!$R$98),"")</f>
        <v/>
      </c>
      <c r="O138" s="111" t="str">
        <f>IF(AND('Mapa final'!$AB$99="Media",'Mapa final'!$AD$99="Menor"),CONCATENATE("R33C",'Mapa final'!$R$99),"")</f>
        <v/>
      </c>
      <c r="P138" s="49" t="str">
        <f>IF(AND('Mapa final'!$AB$97="Media",'Mapa final'!$AD$97="Moderado"),CONCATENATE("R33C",'Mapa final'!$R$97),"")</f>
        <v>R33C1</v>
      </c>
      <c r="Q138" s="50" t="str">
        <f>IF(AND('Mapa final'!$AB$98="Media",'Mapa final'!$AD$98="Moderado"),CONCATENATE("R33C",'Mapa final'!$R$98),"")</f>
        <v/>
      </c>
      <c r="R138" s="111" t="str">
        <f>IF(AND('Mapa final'!$AB$99="Media",'Mapa final'!$AD$99="Moderado"),CONCATENATE("R33C",'Mapa final'!$R$99),"")</f>
        <v/>
      </c>
      <c r="S138" s="105" t="str">
        <f>IF(AND('Mapa final'!$AB$97="Media",'Mapa final'!$AD$97="Mayor"),CONCATENATE("R33C",'Mapa final'!$R$97),"")</f>
        <v/>
      </c>
      <c r="T138" s="42" t="str">
        <f>IF(AND('Mapa final'!$AB$98="Media",'Mapa final'!$AD$98="Mayor"),CONCATENATE("R33C",'Mapa final'!$R$98),"")</f>
        <v/>
      </c>
      <c r="U138" s="106" t="str">
        <f>IF(AND('Mapa final'!$AB$99="Media",'Mapa final'!$AD$99="Mayor"),CONCATENATE("R33C",'Mapa final'!$R$99),"")</f>
        <v/>
      </c>
      <c r="V138" s="43" t="str">
        <f>IF(AND('Mapa final'!$AB$97="Media",'Mapa final'!$AD$97="Catastrófico"),CONCATENATE("R33C",'Mapa final'!$R$97),"")</f>
        <v/>
      </c>
      <c r="W138" s="44" t="str">
        <f>IF(AND('Mapa final'!$AB$98="Media",'Mapa final'!$AD$98="Catastrófico"),CONCATENATE("R33C",'Mapa final'!$R$98),"")</f>
        <v/>
      </c>
      <c r="X138" s="100" t="str">
        <f>IF(AND('Mapa final'!$AB$99="Media",'Mapa final'!$AD$99="Catastrófico"),CONCATENATE("R33C",'Mapa final'!$R$99),"")</f>
        <v/>
      </c>
      <c r="Y138" s="56"/>
      <c r="Z138" s="318"/>
      <c r="AA138" s="319"/>
      <c r="AB138" s="319"/>
      <c r="AC138" s="319"/>
      <c r="AD138" s="319"/>
      <c r="AE138" s="320"/>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row>
    <row r="139" spans="1:61" ht="15" customHeight="1" x14ac:dyDescent="0.35">
      <c r="A139" s="56"/>
      <c r="B139" s="307"/>
      <c r="C139" s="307"/>
      <c r="D139" s="308"/>
      <c r="E139" s="284"/>
      <c r="F139" s="297"/>
      <c r="G139" s="297"/>
      <c r="H139" s="297"/>
      <c r="I139" s="279"/>
      <c r="J139" s="49" t="str">
        <f>IF(AND('Mapa final'!$AB$100="Media",'Mapa final'!$AD$100="Leve"),CONCATENATE("R34C",'Mapa final'!$R$100),"")</f>
        <v/>
      </c>
      <c r="K139" s="50" t="str">
        <f>IF(AND('Mapa final'!$AB$101="Media",'Mapa final'!$AD$101="Leve"),CONCATENATE("R34C",'Mapa final'!$R$101),"")</f>
        <v/>
      </c>
      <c r="L139" s="111" t="str">
        <f>IF(AND('Mapa final'!$AB$102="Media",'Mapa final'!$AD$102="Leve"),CONCATENATE("R34C",'Mapa final'!$R$102),"")</f>
        <v/>
      </c>
      <c r="M139" s="49" t="str">
        <f>IF(AND('Mapa final'!$AB$100="Media",'Mapa final'!$AD$100="Menor"),CONCATENATE("R34C",'Mapa final'!$R$100),"")</f>
        <v/>
      </c>
      <c r="N139" s="50" t="str">
        <f>IF(AND('Mapa final'!$AB$101="Media",'Mapa final'!$AD$101="Menor"),CONCATENATE("R34C",'Mapa final'!$R$101),"")</f>
        <v/>
      </c>
      <c r="O139" s="111" t="str">
        <f>IF(AND('Mapa final'!$AB$102="Media",'Mapa final'!$AD$102="Menor"),CONCATENATE("R34C",'Mapa final'!$R$102),"")</f>
        <v/>
      </c>
      <c r="P139" s="49" t="str">
        <f>IF(AND('Mapa final'!$AB$100="Media",'Mapa final'!$AD$100="Moderado"),CONCATENATE("R34C",'Mapa final'!$R$100),"")</f>
        <v>R34C1</v>
      </c>
      <c r="Q139" s="50" t="str">
        <f>IF(AND('Mapa final'!$AB$101="Media",'Mapa final'!$AD$101="Moderado"),CONCATENATE("R34C",'Mapa final'!$R$101),"")</f>
        <v/>
      </c>
      <c r="R139" s="111" t="str">
        <f>IF(AND('Mapa final'!$AB$102="Media",'Mapa final'!$AD$102="Moderado"),CONCATENATE("R34C",'Mapa final'!$R$102),"")</f>
        <v/>
      </c>
      <c r="S139" s="105" t="str">
        <f>IF(AND('Mapa final'!$AB$100="Media",'Mapa final'!$AD$100="Mayor"),CONCATENATE("R34C",'Mapa final'!$R$100),"")</f>
        <v/>
      </c>
      <c r="T139" s="42" t="str">
        <f>IF(AND('Mapa final'!$AB$101="Media",'Mapa final'!$AD$101="Mayor"),CONCATENATE("R34C",'Mapa final'!$R$101),"")</f>
        <v/>
      </c>
      <c r="U139" s="106" t="str">
        <f>IF(AND('Mapa final'!$AB$102="Media",'Mapa final'!$AD$102="Mayor"),CONCATENATE("R34C",'Mapa final'!$R$102),"")</f>
        <v/>
      </c>
      <c r="V139" s="43" t="str">
        <f>IF(AND('Mapa final'!$AB$100="Media",'Mapa final'!$AD$100="Catastrófico"),CONCATENATE("R34C",'Mapa final'!$R$100),"")</f>
        <v/>
      </c>
      <c r="W139" s="44" t="str">
        <f>IF(AND('Mapa final'!$AB$101="Media",'Mapa final'!$AD$101="Catastrófico"),CONCATENATE("R34C",'Mapa final'!$R$101),"")</f>
        <v/>
      </c>
      <c r="X139" s="100" t="str">
        <f>IF(AND('Mapa final'!$AB$102="Media",'Mapa final'!$AD$102="Catastrófico"),CONCATENATE("R34C",'Mapa final'!$R$102),"")</f>
        <v/>
      </c>
      <c r="Y139" s="56"/>
      <c r="Z139" s="318"/>
      <c r="AA139" s="319"/>
      <c r="AB139" s="319"/>
      <c r="AC139" s="319"/>
      <c r="AD139" s="319"/>
      <c r="AE139" s="320"/>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row>
    <row r="140" spans="1:61" ht="15" customHeight="1" x14ac:dyDescent="0.35">
      <c r="A140" s="56"/>
      <c r="B140" s="307"/>
      <c r="C140" s="307"/>
      <c r="D140" s="308"/>
      <c r="E140" s="284"/>
      <c r="F140" s="297"/>
      <c r="G140" s="297"/>
      <c r="H140" s="297"/>
      <c r="I140" s="279"/>
      <c r="J140" s="49" t="str">
        <f>IF(AND('Mapa final'!$AB$103="Media",'Mapa final'!$AD$103="Leve"),CONCATENATE("R35C",'Mapa final'!$R$103),"")</f>
        <v/>
      </c>
      <c r="K140" s="50" t="str">
        <f>IF(AND('Mapa final'!$AB$104="Media",'Mapa final'!$AD$104="Leve"),CONCATENATE("R35C",'Mapa final'!$R$104),"")</f>
        <v/>
      </c>
      <c r="L140" s="111" t="str">
        <f>IF(AND('Mapa final'!$AB$105="Media",'Mapa final'!$AD$105="Leve"),CONCATENATE("R35C",'Mapa final'!$R$105),"")</f>
        <v/>
      </c>
      <c r="M140" s="49" t="str">
        <f>IF(AND('Mapa final'!$AB$103="Media",'Mapa final'!$AD$103="Menor"),CONCATENATE("R35C",'Mapa final'!$R$103),"")</f>
        <v/>
      </c>
      <c r="N140" s="50" t="str">
        <f>IF(AND('Mapa final'!$AB$104="Media",'Mapa final'!$AD$104="Menor"),CONCATENATE("R35C",'Mapa final'!$R$104),"")</f>
        <v/>
      </c>
      <c r="O140" s="111" t="str">
        <f>IF(AND('Mapa final'!$AB$105="Media",'Mapa final'!$AD$105="Menor"),CONCATENATE("R35C",'Mapa final'!$R$105),"")</f>
        <v/>
      </c>
      <c r="P140" s="49" t="str">
        <f>IF(AND('Mapa final'!$AB$103="Media",'Mapa final'!$AD$103="Moderado"),CONCATENATE("R35C",'Mapa final'!$R$103),"")</f>
        <v/>
      </c>
      <c r="Q140" s="50" t="str">
        <f>IF(AND('Mapa final'!$AB$104="Media",'Mapa final'!$AD$104="Moderado"),CONCATENATE("R35C",'Mapa final'!$R$104),"")</f>
        <v/>
      </c>
      <c r="R140" s="111" t="str">
        <f>IF(AND('Mapa final'!$AB$105="Media",'Mapa final'!$AD$105="Moderado"),CONCATENATE("R35C",'Mapa final'!$R$105),"")</f>
        <v/>
      </c>
      <c r="S140" s="105" t="str">
        <f>IF(AND('Mapa final'!$AB$103="Media",'Mapa final'!$AD$103="Mayor"),CONCATENATE("R35C",'Mapa final'!$R$103),"")</f>
        <v/>
      </c>
      <c r="T140" s="42" t="str">
        <f>IF(AND('Mapa final'!$AB$104="Media",'Mapa final'!$AD$104="Mayor"),CONCATENATE("R35C",'Mapa final'!$R$104),"")</f>
        <v/>
      </c>
      <c r="U140" s="106" t="str">
        <f>IF(AND('Mapa final'!$AB$105="Media",'Mapa final'!$AD$105="Mayor"),CONCATENATE("R35C",'Mapa final'!$R$105),"")</f>
        <v/>
      </c>
      <c r="V140" s="43" t="str">
        <f>IF(AND('Mapa final'!$AB$103="Media",'Mapa final'!$AD$103="Catastrófico"),CONCATENATE("R35C",'Mapa final'!$R$103),"")</f>
        <v/>
      </c>
      <c r="W140" s="44" t="str">
        <f>IF(AND('Mapa final'!$AB$104="Media",'Mapa final'!$AD$104="Catastrófico"),CONCATENATE("R35C",'Mapa final'!$R$104),"")</f>
        <v/>
      </c>
      <c r="X140" s="100" t="str">
        <f>IF(AND('Mapa final'!$AB$105="Media",'Mapa final'!$AD$105="Catastrófico"),CONCATENATE("R35C",'Mapa final'!$R$105),"")</f>
        <v/>
      </c>
      <c r="Y140" s="56"/>
      <c r="Z140" s="318"/>
      <c r="AA140" s="319"/>
      <c r="AB140" s="319"/>
      <c r="AC140" s="319"/>
      <c r="AD140" s="319"/>
      <c r="AE140" s="320"/>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row>
    <row r="141" spans="1:61" ht="15" customHeight="1" x14ac:dyDescent="0.35">
      <c r="A141" s="56"/>
      <c r="B141" s="307"/>
      <c r="C141" s="307"/>
      <c r="D141" s="308"/>
      <c r="E141" s="284"/>
      <c r="F141" s="297"/>
      <c r="G141" s="297"/>
      <c r="H141" s="297"/>
      <c r="I141" s="279"/>
      <c r="J141" s="49" t="str">
        <f>IF(AND('Mapa final'!$AB$106="Media",'Mapa final'!$AD$106="Leve"),CONCATENATE("R36C",'Mapa final'!$R$106),"")</f>
        <v/>
      </c>
      <c r="K141" s="50" t="str">
        <f>IF(AND('Mapa final'!$AB$107="Media",'Mapa final'!$AD$107="Leve"),CONCATENATE("R36C",'Mapa final'!$R$107),"")</f>
        <v/>
      </c>
      <c r="L141" s="111" t="str">
        <f>IF(AND('Mapa final'!$AB$108="Media",'Mapa final'!$AD$108="Leve"),CONCATENATE("R36C",'Mapa final'!$R$108),"")</f>
        <v/>
      </c>
      <c r="M141" s="49" t="str">
        <f>IF(AND('Mapa final'!$AB$106="Media",'Mapa final'!$AD$106="Menor"),CONCATENATE("R36C",'Mapa final'!$R$106),"")</f>
        <v/>
      </c>
      <c r="N141" s="50" t="str">
        <f>IF(AND('Mapa final'!$AB$107="Media",'Mapa final'!$AD$107="Menor"),CONCATENATE("R36C",'Mapa final'!$R$107),"")</f>
        <v/>
      </c>
      <c r="O141" s="111" t="str">
        <f>IF(AND('Mapa final'!$AB$108="Media",'Mapa final'!$AD$108="Menor"),CONCATENATE("R36C",'Mapa final'!$R$108),"")</f>
        <v/>
      </c>
      <c r="P141" s="49" t="str">
        <f>IF(AND('Mapa final'!$AB$106="Media",'Mapa final'!$AD$106="Moderado"),CONCATENATE("R36C",'Mapa final'!$R$106),"")</f>
        <v/>
      </c>
      <c r="Q141" s="50" t="str">
        <f>IF(AND('Mapa final'!$AB$107="Media",'Mapa final'!$AD$107="Moderado"),CONCATENATE("R36C",'Mapa final'!$R$107),"")</f>
        <v/>
      </c>
      <c r="R141" s="111" t="str">
        <f>IF(AND('Mapa final'!$AB$108="Media",'Mapa final'!$AD$108="Moderado"),CONCATENATE("R36C",'Mapa final'!$R$108),"")</f>
        <v/>
      </c>
      <c r="S141" s="105" t="str">
        <f>IF(AND('Mapa final'!$AB$106="Media",'Mapa final'!$AD$106="Mayor"),CONCATENATE("R36C",'Mapa final'!$R$106),"")</f>
        <v/>
      </c>
      <c r="T141" s="42" t="str">
        <f>IF(AND('Mapa final'!$AB$107="Media",'Mapa final'!$AD$107="Mayor"),CONCATENATE("R36C",'Mapa final'!$R$107),"")</f>
        <v/>
      </c>
      <c r="U141" s="106" t="str">
        <f>IF(AND('Mapa final'!$AB$108="Media",'Mapa final'!$AD$108="Mayor"),CONCATENATE("R36C",'Mapa final'!$R$108),"")</f>
        <v/>
      </c>
      <c r="V141" s="43" t="str">
        <f>IF(AND('Mapa final'!$AB$106="Media",'Mapa final'!$AD$106="Catastrófico"),CONCATENATE("R36C",'Mapa final'!$R$106),"")</f>
        <v/>
      </c>
      <c r="W141" s="44" t="str">
        <f>IF(AND('Mapa final'!$AB$107="Media",'Mapa final'!$AD$107="Catastrófico"),CONCATENATE("R36C",'Mapa final'!$R$107),"")</f>
        <v/>
      </c>
      <c r="X141" s="100" t="str">
        <f>IF(AND('Mapa final'!$AB$108="Media",'Mapa final'!$AD$108="Catastrófico"),CONCATENATE("R36C",'Mapa final'!$R$108),"")</f>
        <v/>
      </c>
      <c r="Y141" s="56"/>
      <c r="Z141" s="318"/>
      <c r="AA141" s="319"/>
      <c r="AB141" s="319"/>
      <c r="AC141" s="319"/>
      <c r="AD141" s="319"/>
      <c r="AE141" s="320"/>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row>
    <row r="142" spans="1:61" ht="15" customHeight="1" x14ac:dyDescent="0.35">
      <c r="A142" s="56"/>
      <c r="B142" s="307"/>
      <c r="C142" s="307"/>
      <c r="D142" s="308"/>
      <c r="E142" s="284"/>
      <c r="F142" s="297"/>
      <c r="G142" s="297"/>
      <c r="H142" s="297"/>
      <c r="I142" s="279"/>
      <c r="J142" s="49" t="str">
        <f>IF(AND('Mapa final'!$AB$109="Media",'Mapa final'!$AD$109="Leve"),CONCATENATE("R37C",'Mapa final'!$R$109),"")</f>
        <v/>
      </c>
      <c r="K142" s="50" t="str">
        <f>IF(AND('Mapa final'!$AB$110="Media",'Mapa final'!$AD$110="Leve"),CONCATENATE("R37C",'Mapa final'!$R$110),"")</f>
        <v/>
      </c>
      <c r="L142" s="111" t="str">
        <f>IF(AND('Mapa final'!$AB$111="Media",'Mapa final'!$AD$111="Leve"),CONCATENATE("R37C",'Mapa final'!$R$111),"")</f>
        <v/>
      </c>
      <c r="M142" s="49" t="str">
        <f>IF(AND('Mapa final'!$AB$109="Media",'Mapa final'!$AD$109="Menor"),CONCATENATE("R37C",'Mapa final'!$R$109),"")</f>
        <v/>
      </c>
      <c r="N142" s="50" t="str">
        <f>IF(AND('Mapa final'!$AB$110="Media",'Mapa final'!$AD$110="Menor"),CONCATENATE("R37C",'Mapa final'!$R$110),"")</f>
        <v/>
      </c>
      <c r="O142" s="111" t="str">
        <f>IF(AND('Mapa final'!$AB$111="Media",'Mapa final'!$AD$111="Menor"),CONCATENATE("R37C",'Mapa final'!$R$111),"")</f>
        <v/>
      </c>
      <c r="P142" s="49" t="str">
        <f>IF(AND('Mapa final'!$AB$109="Media",'Mapa final'!$AD$109="Moderado"),CONCATENATE("R37C",'Mapa final'!$R$109),"")</f>
        <v/>
      </c>
      <c r="Q142" s="50" t="str">
        <f>IF(AND('Mapa final'!$AB$110="Media",'Mapa final'!$AD$110="Moderado"),CONCATENATE("R37C",'Mapa final'!$R$110),"")</f>
        <v/>
      </c>
      <c r="R142" s="111" t="str">
        <f>IF(AND('Mapa final'!$AB$111="Media",'Mapa final'!$AD$111="Moderado"),CONCATENATE("R37C",'Mapa final'!$R$111),"")</f>
        <v/>
      </c>
      <c r="S142" s="105" t="str">
        <f>IF(AND('Mapa final'!$AB$109="Media",'Mapa final'!$AD$109="Mayor"),CONCATENATE("R37C",'Mapa final'!$R$109),"")</f>
        <v/>
      </c>
      <c r="T142" s="42" t="str">
        <f>IF(AND('Mapa final'!$AB$110="Media",'Mapa final'!$AD$110="Mayor"),CONCATENATE("R37C",'Mapa final'!$R$110),"")</f>
        <v/>
      </c>
      <c r="U142" s="106" t="str">
        <f>IF(AND('Mapa final'!$AB$111="Media",'Mapa final'!$AD$111="Mayor"),CONCATENATE("R37C",'Mapa final'!$R$111),"")</f>
        <v/>
      </c>
      <c r="V142" s="43" t="str">
        <f>IF(AND('Mapa final'!$AB$109="Media",'Mapa final'!$AD$109="Catastrófico"),CONCATENATE("R37C",'Mapa final'!$R$109),"")</f>
        <v/>
      </c>
      <c r="W142" s="44" t="str">
        <f>IF(AND('Mapa final'!$AB$110="Media",'Mapa final'!$AD$110="Catastrófico"),CONCATENATE("R37C",'Mapa final'!$R$110),"")</f>
        <v/>
      </c>
      <c r="X142" s="100" t="str">
        <f>IF(AND('Mapa final'!$AB$111="Media",'Mapa final'!$AD$111="Catastrófico"),CONCATENATE("R37C",'Mapa final'!$R$111),"")</f>
        <v/>
      </c>
      <c r="Y142" s="56"/>
      <c r="Z142" s="318"/>
      <c r="AA142" s="319"/>
      <c r="AB142" s="319"/>
      <c r="AC142" s="319"/>
      <c r="AD142" s="319"/>
      <c r="AE142" s="320"/>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row>
    <row r="143" spans="1:61" ht="15" customHeight="1" x14ac:dyDescent="0.35">
      <c r="A143" s="56"/>
      <c r="B143" s="307"/>
      <c r="C143" s="307"/>
      <c r="D143" s="308"/>
      <c r="E143" s="284"/>
      <c r="F143" s="297"/>
      <c r="G143" s="297"/>
      <c r="H143" s="297"/>
      <c r="I143" s="279"/>
      <c r="J143" s="49" t="str">
        <f>IF(AND('Mapa final'!$AB$112="Media",'Mapa final'!$AD$112="Leve"),CONCATENATE("R38C",'Mapa final'!$R$112),"")</f>
        <v/>
      </c>
      <c r="K143" s="50" t="str">
        <f>IF(AND('Mapa final'!$AB$113="Media",'Mapa final'!$AD$113="Leve"),CONCATENATE("R38C",'Mapa final'!$R$113),"")</f>
        <v/>
      </c>
      <c r="L143" s="111" t="str">
        <f>IF(AND('Mapa final'!$AB$114="Media",'Mapa final'!$AD$114="Leve"),CONCATENATE("R38C",'Mapa final'!$R$114),"")</f>
        <v/>
      </c>
      <c r="M143" s="49" t="str">
        <f>IF(AND('Mapa final'!$AB$112="Media",'Mapa final'!$AD$112="Menor"),CONCATENATE("R38C",'Mapa final'!$R$112),"")</f>
        <v/>
      </c>
      <c r="N143" s="50" t="str">
        <f>IF(AND('Mapa final'!$AB$113="Media",'Mapa final'!$AD$113="Menor"),CONCATENATE("R38C",'Mapa final'!$R$113),"")</f>
        <v/>
      </c>
      <c r="O143" s="111" t="str">
        <f>IF(AND('Mapa final'!$AB$114="Media",'Mapa final'!$AD$114="Menor"),CONCATENATE("R38C",'Mapa final'!$R$114),"")</f>
        <v/>
      </c>
      <c r="P143" s="49" t="str">
        <f>IF(AND('Mapa final'!$AB$112="Media",'Mapa final'!$AD$112="Moderado"),CONCATENATE("R38C",'Mapa final'!$R$112),"")</f>
        <v/>
      </c>
      <c r="Q143" s="50" t="str">
        <f>IF(AND('Mapa final'!$AB$113="Media",'Mapa final'!$AD$113="Moderado"),CONCATENATE("R38C",'Mapa final'!$R$113),"")</f>
        <v/>
      </c>
      <c r="R143" s="111" t="str">
        <f>IF(AND('Mapa final'!$AB$114="Media",'Mapa final'!$AD$114="Moderado"),CONCATENATE("R38C",'Mapa final'!$R$114),"")</f>
        <v/>
      </c>
      <c r="S143" s="105" t="str">
        <f>IF(AND('Mapa final'!$AB$112="Media",'Mapa final'!$AD$112="Mayor"),CONCATENATE("R38C",'Mapa final'!$R$112),"")</f>
        <v/>
      </c>
      <c r="T143" s="42" t="str">
        <f>IF(AND('Mapa final'!$AB$113="Media",'Mapa final'!$AD$113="Mayor"),CONCATENATE("R38C",'Mapa final'!$R$113),"")</f>
        <v/>
      </c>
      <c r="U143" s="106" t="str">
        <f>IF(AND('Mapa final'!$AB$114="Media",'Mapa final'!$AD$114="Mayor"),CONCATENATE("R38C",'Mapa final'!$R$114),"")</f>
        <v/>
      </c>
      <c r="V143" s="43" t="str">
        <f>IF(AND('Mapa final'!$AB$112="Media",'Mapa final'!$AD$112="Catastrófico"),CONCATENATE("R38C",'Mapa final'!$R$112),"")</f>
        <v/>
      </c>
      <c r="W143" s="44" t="str">
        <f>IF(AND('Mapa final'!$AB$113="Media",'Mapa final'!$AD$113="Catastrófico"),CONCATENATE("R38C",'Mapa final'!$R$113),"")</f>
        <v/>
      </c>
      <c r="X143" s="100" t="str">
        <f>IF(AND('Mapa final'!$AB$114="Media",'Mapa final'!$AD$114="Catastrófico"),CONCATENATE("R38C",'Mapa final'!$R$114),"")</f>
        <v/>
      </c>
      <c r="Y143" s="56"/>
      <c r="Z143" s="318"/>
      <c r="AA143" s="319"/>
      <c r="AB143" s="319"/>
      <c r="AC143" s="319"/>
      <c r="AD143" s="319"/>
      <c r="AE143" s="320"/>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row>
    <row r="144" spans="1:61" ht="15" customHeight="1" x14ac:dyDescent="0.35">
      <c r="A144" s="56"/>
      <c r="B144" s="307"/>
      <c r="C144" s="307"/>
      <c r="D144" s="308"/>
      <c r="E144" s="284"/>
      <c r="F144" s="297"/>
      <c r="G144" s="297"/>
      <c r="H144" s="297"/>
      <c r="I144" s="279"/>
      <c r="J144" s="49" t="str">
        <f>IF(AND('Mapa final'!$AB$115="Media",'Mapa final'!$AD$115="Leve"),CONCATENATE("R39C",'Mapa final'!$R$115),"")</f>
        <v/>
      </c>
      <c r="K144" s="50" t="str">
        <f>IF(AND('Mapa final'!$AB$116="Media",'Mapa final'!$AD$116="Leve"),CONCATENATE("R39C",'Mapa final'!$R$116),"")</f>
        <v/>
      </c>
      <c r="L144" s="111" t="str">
        <f>IF(AND('Mapa final'!$AB$117="Media",'Mapa final'!$AD$117="Leve"),CONCATENATE("R39C",'Mapa final'!$R$117),"")</f>
        <v/>
      </c>
      <c r="M144" s="49" t="str">
        <f>IF(AND('Mapa final'!$AB$115="Media",'Mapa final'!$AD$115="Menor"),CONCATENATE("R39C",'Mapa final'!$R$115),"")</f>
        <v/>
      </c>
      <c r="N144" s="50" t="str">
        <f>IF(AND('Mapa final'!$AB$116="Media",'Mapa final'!$AD$116="Menor"),CONCATENATE("R39C",'Mapa final'!$R$116),"")</f>
        <v/>
      </c>
      <c r="O144" s="111" t="str">
        <f>IF(AND('Mapa final'!$AB$117="Media",'Mapa final'!$AD$117="Menor"),CONCATENATE("R39C",'Mapa final'!$R$117),"")</f>
        <v/>
      </c>
      <c r="P144" s="49" t="str">
        <f>IF(AND('Mapa final'!$AB$115="Media",'Mapa final'!$AD$115="Moderado"),CONCATENATE("R39C",'Mapa final'!$R$115),"")</f>
        <v>R39C1</v>
      </c>
      <c r="Q144" s="50" t="str">
        <f>IF(AND('Mapa final'!$AB$116="Media",'Mapa final'!$AD$116="Moderado"),CONCATENATE("R39C",'Mapa final'!$R$116),"")</f>
        <v/>
      </c>
      <c r="R144" s="111" t="str">
        <f>IF(AND('Mapa final'!$AB$117="Media",'Mapa final'!$AD$117="Moderado"),CONCATENATE("R39C",'Mapa final'!$R$117),"")</f>
        <v/>
      </c>
      <c r="S144" s="105" t="str">
        <f>IF(AND('Mapa final'!$AB$115="Media",'Mapa final'!$AD$115="Mayor"),CONCATENATE("R39C",'Mapa final'!$R$115),"")</f>
        <v/>
      </c>
      <c r="T144" s="42" t="str">
        <f>IF(AND('Mapa final'!$AB$116="Media",'Mapa final'!$AD$116="Mayor"),CONCATENATE("R39C",'Mapa final'!$R$116),"")</f>
        <v/>
      </c>
      <c r="U144" s="106" t="str">
        <f>IF(AND('Mapa final'!$AB$117="Media",'Mapa final'!$AD$117="Mayor"),CONCATENATE("R39C",'Mapa final'!$R$117),"")</f>
        <v/>
      </c>
      <c r="V144" s="43" t="str">
        <f>IF(AND('Mapa final'!$AB$115="Media",'Mapa final'!$AD$115="Catastrófico"),CONCATENATE("R39C",'Mapa final'!$R$115),"")</f>
        <v/>
      </c>
      <c r="W144" s="44" t="str">
        <f>IF(AND('Mapa final'!$AB$116="Media",'Mapa final'!$AD$116="Catastrófico"),CONCATENATE("R39C",'Mapa final'!$R$116),"")</f>
        <v/>
      </c>
      <c r="X144" s="100" t="str">
        <f>IF(AND('Mapa final'!$AB$117="Media",'Mapa final'!$AD$117="Catastrófico"),CONCATENATE("R39C",'Mapa final'!$R$117),"")</f>
        <v/>
      </c>
      <c r="Y144" s="56"/>
      <c r="Z144" s="318"/>
      <c r="AA144" s="319"/>
      <c r="AB144" s="319"/>
      <c r="AC144" s="319"/>
      <c r="AD144" s="319"/>
      <c r="AE144" s="320"/>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row>
    <row r="145" spans="1:61" ht="15" customHeight="1" x14ac:dyDescent="0.35">
      <c r="A145" s="56"/>
      <c r="B145" s="307"/>
      <c r="C145" s="307"/>
      <c r="D145" s="308"/>
      <c r="E145" s="284"/>
      <c r="F145" s="297"/>
      <c r="G145" s="297"/>
      <c r="H145" s="297"/>
      <c r="I145" s="279"/>
      <c r="J145" s="49" t="str">
        <f>IF(AND('Mapa final'!$AB$118="Media",'Mapa final'!$AD$118="Leve"),CONCATENATE("R40C",'Mapa final'!$R$118),"")</f>
        <v/>
      </c>
      <c r="K145" s="50" t="str">
        <f>IF(AND('Mapa final'!$AB$119="Media",'Mapa final'!$AD$119="Leve"),CONCATENATE("R40C",'Mapa final'!$R$119),"")</f>
        <v/>
      </c>
      <c r="L145" s="111" t="str">
        <f>IF(AND('Mapa final'!$AB$120="Media",'Mapa final'!$AD$120="Leve"),CONCATENATE("R40C",'Mapa final'!$R$120),"")</f>
        <v/>
      </c>
      <c r="M145" s="49" t="str">
        <f>IF(AND('Mapa final'!$AB$118="Media",'Mapa final'!$AD$118="Menor"),CONCATENATE("R40C",'Mapa final'!$R$118),"")</f>
        <v/>
      </c>
      <c r="N145" s="50" t="str">
        <f>IF(AND('Mapa final'!$AB$119="Media",'Mapa final'!$AD$119="Menor"),CONCATENATE("R40C",'Mapa final'!$R$119),"")</f>
        <v/>
      </c>
      <c r="O145" s="111" t="str">
        <f>IF(AND('Mapa final'!$AB$120="Media",'Mapa final'!$AD$120="Menor"),CONCATENATE("R40C",'Mapa final'!$R$120),"")</f>
        <v/>
      </c>
      <c r="P145" s="49" t="str">
        <f>IF(AND('Mapa final'!$AB$118="Media",'Mapa final'!$AD$118="Moderado"),CONCATENATE("R40C",'Mapa final'!$R$118),"")</f>
        <v/>
      </c>
      <c r="Q145" s="50" t="str">
        <f>IF(AND('Mapa final'!$AB$119="Media",'Mapa final'!$AD$119="Moderado"),CONCATENATE("R40C",'Mapa final'!$R$119),"")</f>
        <v/>
      </c>
      <c r="R145" s="111" t="str">
        <f>IF(AND('Mapa final'!$AB$120="Media",'Mapa final'!$AD$120="Moderado"),CONCATENATE("R40C",'Mapa final'!$R$120),"")</f>
        <v/>
      </c>
      <c r="S145" s="105" t="str">
        <f>IF(AND('Mapa final'!$AB$118="Media",'Mapa final'!$AD$118="Mayor"),CONCATENATE("R40C",'Mapa final'!$R$118),"")</f>
        <v/>
      </c>
      <c r="T145" s="42" t="str">
        <f>IF(AND('Mapa final'!$AB$119="Media",'Mapa final'!$AD$119="Mayor"),CONCATENATE("R40C",'Mapa final'!$R$119),"")</f>
        <v/>
      </c>
      <c r="U145" s="106" t="str">
        <f>IF(AND('Mapa final'!$AB$120="Media",'Mapa final'!$AD$120="Mayor"),CONCATENATE("R40C",'Mapa final'!$R$120),"")</f>
        <v/>
      </c>
      <c r="V145" s="43" t="str">
        <f>IF(AND('Mapa final'!$AB$118="Media",'Mapa final'!$AD$118="Catastrófico"),CONCATENATE("R40C",'Mapa final'!$R$118),"")</f>
        <v/>
      </c>
      <c r="W145" s="44" t="str">
        <f>IF(AND('Mapa final'!$AB$119="Media",'Mapa final'!$AD$119="Catastrófico"),CONCATENATE("R40C",'Mapa final'!$R$119),"")</f>
        <v/>
      </c>
      <c r="X145" s="100" t="str">
        <f>IF(AND('Mapa final'!$AB$120="Media",'Mapa final'!$AD$120="Catastrófico"),CONCATENATE("R40C",'Mapa final'!$R$120),"")</f>
        <v/>
      </c>
      <c r="Y145" s="56"/>
      <c r="Z145" s="318"/>
      <c r="AA145" s="319"/>
      <c r="AB145" s="319"/>
      <c r="AC145" s="319"/>
      <c r="AD145" s="319"/>
      <c r="AE145" s="320"/>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row>
    <row r="146" spans="1:61" ht="15" customHeight="1" x14ac:dyDescent="0.35">
      <c r="A146" s="56"/>
      <c r="B146" s="307"/>
      <c r="C146" s="307"/>
      <c r="D146" s="308"/>
      <c r="E146" s="284"/>
      <c r="F146" s="297"/>
      <c r="G146" s="297"/>
      <c r="H146" s="297"/>
      <c r="I146" s="279"/>
      <c r="J146" s="49" t="str">
        <f>IF(AND('Mapa final'!$AB$121="Media",'Mapa final'!$AD$121="Leve"),CONCATENATE("R41C",'Mapa final'!$R$121),"")</f>
        <v/>
      </c>
      <c r="K146" s="50" t="str">
        <f>IF(AND('Mapa final'!$AB$122="Media",'Mapa final'!$AD$122="Leve"),CONCATENATE("R41C",'Mapa final'!$R$122),"")</f>
        <v/>
      </c>
      <c r="L146" s="111" t="str">
        <f>IF(AND('Mapa final'!$AB$123="Media",'Mapa final'!$AD$123="Leve"),CONCATENATE("R41C",'Mapa final'!$R$123),"")</f>
        <v/>
      </c>
      <c r="M146" s="49" t="str">
        <f>IF(AND('Mapa final'!$AB$121="Media",'Mapa final'!$AD$121="Menor"),CONCATENATE("R41C",'Mapa final'!$R$121),"")</f>
        <v/>
      </c>
      <c r="N146" s="50" t="str">
        <f>IF(AND('Mapa final'!$AB$122="Media",'Mapa final'!$AD$122="Menor"),CONCATENATE("R41C",'Mapa final'!$R$122),"")</f>
        <v/>
      </c>
      <c r="O146" s="111" t="str">
        <f>IF(AND('Mapa final'!$AB$123="Media",'Mapa final'!$AD$123="Menor"),CONCATENATE("R41C",'Mapa final'!$R$123),"")</f>
        <v/>
      </c>
      <c r="P146" s="49" t="str">
        <f>IF(AND('Mapa final'!$AB$121="Media",'Mapa final'!$AD$121="Moderado"),CONCATENATE("R41C",'Mapa final'!$R$121),"")</f>
        <v>R41C1</v>
      </c>
      <c r="Q146" s="50" t="str">
        <f>IF(AND('Mapa final'!$AB$122="Media",'Mapa final'!$AD$122="Moderado"),CONCATENATE("R41C",'Mapa final'!$R$122),"")</f>
        <v/>
      </c>
      <c r="R146" s="111" t="str">
        <f>IF(AND('Mapa final'!$AB$123="Media",'Mapa final'!$AD$123="Moderado"),CONCATENATE("R41C",'Mapa final'!$R$123),"")</f>
        <v/>
      </c>
      <c r="S146" s="105" t="str">
        <f>IF(AND('Mapa final'!$AB$121="Media",'Mapa final'!$AD$121="Mayor"),CONCATENATE("R41C",'Mapa final'!$R$121),"")</f>
        <v/>
      </c>
      <c r="T146" s="42" t="str">
        <f>IF(AND('Mapa final'!$AB$122="Media",'Mapa final'!$AD$122="Mayor"),CONCATENATE("R41C",'Mapa final'!$R$122),"")</f>
        <v/>
      </c>
      <c r="U146" s="106" t="str">
        <f>IF(AND('Mapa final'!$AB$123="Media",'Mapa final'!$AD$123="Mayor"),CONCATENATE("R41C",'Mapa final'!$R$123),"")</f>
        <v/>
      </c>
      <c r="V146" s="43" t="str">
        <f>IF(AND('Mapa final'!$AB$121="Media",'Mapa final'!$AD$121="Catastrófico"),CONCATENATE("R41C",'Mapa final'!$R$121),"")</f>
        <v/>
      </c>
      <c r="W146" s="44" t="str">
        <f>IF(AND('Mapa final'!$AB$122="Media",'Mapa final'!$AD$122="Catastrófico"),CONCATENATE("R41C",'Mapa final'!$R$122),"")</f>
        <v/>
      </c>
      <c r="X146" s="100" t="str">
        <f>IF(AND('Mapa final'!$AB$123="Media",'Mapa final'!$AD$123="Catastrófico"),CONCATENATE("R41C",'Mapa final'!$R$123),"")</f>
        <v/>
      </c>
      <c r="Y146" s="56"/>
      <c r="Z146" s="318"/>
      <c r="AA146" s="319"/>
      <c r="AB146" s="319"/>
      <c r="AC146" s="319"/>
      <c r="AD146" s="319"/>
      <c r="AE146" s="320"/>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row>
    <row r="147" spans="1:61" ht="15" customHeight="1" x14ac:dyDescent="0.35">
      <c r="A147" s="56"/>
      <c r="B147" s="307"/>
      <c r="C147" s="307"/>
      <c r="D147" s="308"/>
      <c r="E147" s="284"/>
      <c r="F147" s="297"/>
      <c r="G147" s="297"/>
      <c r="H147" s="297"/>
      <c r="I147" s="279"/>
      <c r="J147" s="49" t="str">
        <f>IF(AND('Mapa final'!$AB$124="Media",'Mapa final'!$AD$124="Leve"),CONCATENATE("R42C",'Mapa final'!$R$124),"")</f>
        <v/>
      </c>
      <c r="K147" s="50" t="str">
        <f>IF(AND('Mapa final'!$AB$125="Media",'Mapa final'!$AD$125="Leve"),CONCATENATE("R42C",'Mapa final'!$R$125),"")</f>
        <v/>
      </c>
      <c r="L147" s="111" t="str">
        <f>IF(AND('Mapa final'!$AB$126="Media",'Mapa final'!$AD$126="Leve"),CONCATENATE("R42C",'Mapa final'!$R$126),"")</f>
        <v/>
      </c>
      <c r="M147" s="49" t="str">
        <f>IF(AND('Mapa final'!$AB$124="Media",'Mapa final'!$AD$124="Menor"),CONCATENATE("R42C",'Mapa final'!$R$124),"")</f>
        <v/>
      </c>
      <c r="N147" s="50" t="str">
        <f>IF(AND('Mapa final'!$AB$125="Media",'Mapa final'!$AD$125="Menor"),CONCATENATE("R42C",'Mapa final'!$R$125),"")</f>
        <v/>
      </c>
      <c r="O147" s="111" t="str">
        <f>IF(AND('Mapa final'!$AB$126="Media",'Mapa final'!$AD$126="Menor"),CONCATENATE("R42C",'Mapa final'!$R$126),"")</f>
        <v/>
      </c>
      <c r="P147" s="49" t="str">
        <f>IF(AND('Mapa final'!$AB$124="Media",'Mapa final'!$AD$124="Moderado"),CONCATENATE("R42C",'Mapa final'!$R$124),"")</f>
        <v/>
      </c>
      <c r="Q147" s="50" t="str">
        <f>IF(AND('Mapa final'!$AB$125="Media",'Mapa final'!$AD$125="Moderado"),CONCATENATE("R42C",'Mapa final'!$R$125),"")</f>
        <v/>
      </c>
      <c r="R147" s="111" t="str">
        <f>IF(AND('Mapa final'!$AB$126="Media",'Mapa final'!$AD$126="Moderado"),CONCATENATE("R42C",'Mapa final'!$R$126),"")</f>
        <v/>
      </c>
      <c r="S147" s="105" t="str">
        <f>IF(AND('Mapa final'!$AB$124="Media",'Mapa final'!$AD$124="Mayor"),CONCATENATE("R42C",'Mapa final'!$R$124),"")</f>
        <v/>
      </c>
      <c r="T147" s="42" t="str">
        <f>IF(AND('Mapa final'!$AB$125="Media",'Mapa final'!$AD$125="Mayor"),CONCATENATE("R42C",'Mapa final'!$R$125),"")</f>
        <v/>
      </c>
      <c r="U147" s="106" t="str">
        <f>IF(AND('Mapa final'!$AB$126="Media",'Mapa final'!$AD$126="Mayor"),CONCATENATE("R42C",'Mapa final'!$R$126),"")</f>
        <v/>
      </c>
      <c r="V147" s="43" t="str">
        <f>IF(AND('Mapa final'!$AB$124="Media",'Mapa final'!$AD$124="Catastrófico"),CONCATENATE("R42C",'Mapa final'!$R$124),"")</f>
        <v/>
      </c>
      <c r="W147" s="44" t="str">
        <f>IF(AND('Mapa final'!$AB$125="Media",'Mapa final'!$AD$125="Catastrófico"),CONCATENATE("R42C",'Mapa final'!$R$125),"")</f>
        <v/>
      </c>
      <c r="X147" s="100" t="str">
        <f>IF(AND('Mapa final'!$AB$126="Media",'Mapa final'!$AD$126="Catastrófico"),CONCATENATE("R42C",'Mapa final'!$R$126),"")</f>
        <v/>
      </c>
      <c r="Y147" s="56"/>
      <c r="Z147" s="318"/>
      <c r="AA147" s="319"/>
      <c r="AB147" s="319"/>
      <c r="AC147" s="319"/>
      <c r="AD147" s="319"/>
      <c r="AE147" s="320"/>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row>
    <row r="148" spans="1:61" ht="15" customHeight="1" x14ac:dyDescent="0.35">
      <c r="A148" s="56"/>
      <c r="B148" s="307"/>
      <c r="C148" s="307"/>
      <c r="D148" s="308"/>
      <c r="E148" s="284"/>
      <c r="F148" s="297"/>
      <c r="G148" s="297"/>
      <c r="H148" s="297"/>
      <c r="I148" s="279"/>
      <c r="J148" s="49" t="str">
        <f>IF(AND('Mapa final'!$AB$127="Media",'Mapa final'!$AD$127="Leve"),CONCATENATE("R43C",'Mapa final'!$R$127),"")</f>
        <v/>
      </c>
      <c r="K148" s="50" t="str">
        <f>IF(AND('Mapa final'!$AB$128="Media",'Mapa final'!$AD$128="Leve"),CONCATENATE("R43C",'Mapa final'!$R$128),"")</f>
        <v/>
      </c>
      <c r="L148" s="111" t="str">
        <f>IF(AND('Mapa final'!$AB$129="Media",'Mapa final'!$AD$129="Leve"),CONCATENATE("R43C",'Mapa final'!$R$129),"")</f>
        <v/>
      </c>
      <c r="M148" s="49" t="str">
        <f>IF(AND('Mapa final'!$AB$127="Media",'Mapa final'!$AD$127="Menor"),CONCATENATE("R43C",'Mapa final'!$R$127),"")</f>
        <v/>
      </c>
      <c r="N148" s="50" t="str">
        <f>IF(AND('Mapa final'!$AB$128="Media",'Mapa final'!$AD$128="Menor"),CONCATENATE("R43C",'Mapa final'!$R$128),"")</f>
        <v/>
      </c>
      <c r="O148" s="111" t="str">
        <f>IF(AND('Mapa final'!$AB$129="Media",'Mapa final'!$AD$129="Menor"),CONCATENATE("R43C",'Mapa final'!$R$129),"")</f>
        <v/>
      </c>
      <c r="P148" s="49" t="str">
        <f>IF(AND('Mapa final'!$AB$127="Media",'Mapa final'!$AD$127="Moderado"),CONCATENATE("R43C",'Mapa final'!$R$127),"")</f>
        <v/>
      </c>
      <c r="Q148" s="50" t="str">
        <f>IF(AND('Mapa final'!$AB$128="Media",'Mapa final'!$AD$128="Moderado"),CONCATENATE("R43C",'Mapa final'!$R$128),"")</f>
        <v/>
      </c>
      <c r="R148" s="111" t="str">
        <f>IF(AND('Mapa final'!$AB$129="Media",'Mapa final'!$AD$129="Moderado"),CONCATENATE("R43C",'Mapa final'!$R$129),"")</f>
        <v/>
      </c>
      <c r="S148" s="105" t="str">
        <f>IF(AND('Mapa final'!$AB$127="Media",'Mapa final'!$AD$127="Mayor"),CONCATENATE("R43C",'Mapa final'!$R$127),"")</f>
        <v>R43C1</v>
      </c>
      <c r="T148" s="42" t="str">
        <f>IF(AND('Mapa final'!$AB$128="Media",'Mapa final'!$AD$128="Mayor"),CONCATENATE("R43C",'Mapa final'!$R$128),"")</f>
        <v/>
      </c>
      <c r="U148" s="106" t="str">
        <f>IF(AND('Mapa final'!$AB$129="Media",'Mapa final'!$AD$129="Mayor"),CONCATENATE("R43C",'Mapa final'!$R$129),"")</f>
        <v/>
      </c>
      <c r="V148" s="43" t="str">
        <f>IF(AND('Mapa final'!$AB$127="Media",'Mapa final'!$AD$127="Catastrófico"),CONCATENATE("R43C",'Mapa final'!$R$127),"")</f>
        <v/>
      </c>
      <c r="W148" s="44" t="str">
        <f>IF(AND('Mapa final'!$AB$128="Media",'Mapa final'!$AD$128="Catastrófico"),CONCATENATE("R43C",'Mapa final'!$R$128),"")</f>
        <v/>
      </c>
      <c r="X148" s="100" t="str">
        <f>IF(AND('Mapa final'!$AB$129="Media",'Mapa final'!$AD$129="Catastrófico"),CONCATENATE("R43C",'Mapa final'!$R$129),"")</f>
        <v/>
      </c>
      <c r="Y148" s="56"/>
      <c r="Z148" s="318"/>
      <c r="AA148" s="319"/>
      <c r="AB148" s="319"/>
      <c r="AC148" s="319"/>
      <c r="AD148" s="319"/>
      <c r="AE148" s="320"/>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row>
    <row r="149" spans="1:61" ht="15" customHeight="1" x14ac:dyDescent="0.35">
      <c r="A149" s="56"/>
      <c r="B149" s="307"/>
      <c r="C149" s="307"/>
      <c r="D149" s="308"/>
      <c r="E149" s="284"/>
      <c r="F149" s="297"/>
      <c r="G149" s="297"/>
      <c r="H149" s="297"/>
      <c r="I149" s="279"/>
      <c r="J149" s="49" t="str">
        <f>IF(AND('Mapa final'!$AB$130="Media",'Mapa final'!$AD$130="Leve"),CONCATENATE("R44C",'Mapa final'!$R$130),"")</f>
        <v/>
      </c>
      <c r="K149" s="50" t="str">
        <f>IF(AND('Mapa final'!$AB$131="Media",'Mapa final'!$AD$131="Leve"),CONCATENATE("R44C",'Mapa final'!$R$131),"")</f>
        <v/>
      </c>
      <c r="L149" s="111" t="str">
        <f>IF(AND('Mapa final'!$AB$132="Media",'Mapa final'!$AD$132="Leve"),CONCATENATE("R44C",'Mapa final'!$R$132),"")</f>
        <v/>
      </c>
      <c r="M149" s="49" t="str">
        <f>IF(AND('Mapa final'!$AB$130="Media",'Mapa final'!$AD$130="Menor"),CONCATENATE("R44C",'Mapa final'!$R$130),"")</f>
        <v/>
      </c>
      <c r="N149" s="50" t="str">
        <f>IF(AND('Mapa final'!$AB$131="Media",'Mapa final'!$AD$131="Menor"),CONCATENATE("R44C",'Mapa final'!$R$131),"")</f>
        <v/>
      </c>
      <c r="O149" s="111" t="str">
        <f>IF(AND('Mapa final'!$AB$132="Media",'Mapa final'!$AD$132="Menor"),CONCATENATE("R44C",'Mapa final'!$R$132),"")</f>
        <v/>
      </c>
      <c r="P149" s="49" t="str">
        <f>IF(AND('Mapa final'!$AB$130="Media",'Mapa final'!$AD$130="Moderado"),CONCATENATE("R44C",'Mapa final'!$R$130),"")</f>
        <v>R44C1</v>
      </c>
      <c r="Q149" s="50" t="str">
        <f>IF(AND('Mapa final'!$AB$131="Media",'Mapa final'!$AD$131="Moderado"),CONCATENATE("R44C",'Mapa final'!$R$131),"")</f>
        <v/>
      </c>
      <c r="R149" s="111" t="str">
        <f>IF(AND('Mapa final'!$AB$132="Media",'Mapa final'!$AD$132="Moderado"),CONCATENATE("R44C",'Mapa final'!$R$132),"")</f>
        <v/>
      </c>
      <c r="S149" s="105" t="str">
        <f>IF(AND('Mapa final'!$AB$130="Media",'Mapa final'!$AD$130="Mayor"),CONCATENATE("R44C",'Mapa final'!$R$130),"")</f>
        <v/>
      </c>
      <c r="T149" s="42" t="str">
        <f>IF(AND('Mapa final'!$AB$131="Media",'Mapa final'!$AD$131="Mayor"),CONCATENATE("R44C",'Mapa final'!$R$131),"")</f>
        <v/>
      </c>
      <c r="U149" s="106" t="str">
        <f>IF(AND('Mapa final'!$AB$132="Media",'Mapa final'!$AD$132="Mayor"),CONCATENATE("R44C",'Mapa final'!$R$132),"")</f>
        <v/>
      </c>
      <c r="V149" s="43" t="str">
        <f>IF(AND('Mapa final'!$AB$130="Media",'Mapa final'!$AD$130="Catastrófico"),CONCATENATE("R44C",'Mapa final'!$R$130),"")</f>
        <v/>
      </c>
      <c r="W149" s="44" t="str">
        <f>IF(AND('Mapa final'!$AB$131="Media",'Mapa final'!$AD$131="Catastrófico"),CONCATENATE("R44C",'Mapa final'!$R$131),"")</f>
        <v/>
      </c>
      <c r="X149" s="100" t="str">
        <f>IF(AND('Mapa final'!$AB$132="Media",'Mapa final'!$AD$132="Catastrófico"),CONCATENATE("R44C",'Mapa final'!$R$132),"")</f>
        <v/>
      </c>
      <c r="Y149" s="56"/>
      <c r="Z149" s="318"/>
      <c r="AA149" s="319"/>
      <c r="AB149" s="319"/>
      <c r="AC149" s="319"/>
      <c r="AD149" s="319"/>
      <c r="AE149" s="320"/>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row>
    <row r="150" spans="1:61" ht="15" customHeight="1" x14ac:dyDescent="0.35">
      <c r="A150" s="56"/>
      <c r="B150" s="307"/>
      <c r="C150" s="307"/>
      <c r="D150" s="308"/>
      <c r="E150" s="284"/>
      <c r="F150" s="297"/>
      <c r="G150" s="297"/>
      <c r="H150" s="297"/>
      <c r="I150" s="279"/>
      <c r="J150" s="49" t="str">
        <f>IF(AND('Mapa final'!$AB$133="Media",'Mapa final'!$AD$133="Leve"),CONCATENATE("R45C",'Mapa final'!$R$133),"")</f>
        <v/>
      </c>
      <c r="K150" s="50" t="str">
        <f>IF(AND('Mapa final'!$AB$134="Media",'Mapa final'!$AD$134="Leve"),CONCATENATE("R45C",'Mapa final'!$R$134),"")</f>
        <v/>
      </c>
      <c r="L150" s="111" t="str">
        <f>IF(AND('Mapa final'!$AB$135="Media",'Mapa final'!$AD$135="Leve"),CONCATENATE("R45C",'Mapa final'!$R$135),"")</f>
        <v/>
      </c>
      <c r="M150" s="49" t="str">
        <f>IF(AND('Mapa final'!$AB$133="Media",'Mapa final'!$AD$133="Menor"),CONCATENATE("R45C",'Mapa final'!$R$133),"")</f>
        <v/>
      </c>
      <c r="N150" s="50" t="str">
        <f>IF(AND('Mapa final'!$AB$134="Media",'Mapa final'!$AD$134="Menor"),CONCATENATE("R45C",'Mapa final'!$R$134),"")</f>
        <v/>
      </c>
      <c r="O150" s="111" t="str">
        <f>IF(AND('Mapa final'!$AB$135="Media",'Mapa final'!$AD$135="Menor"),CONCATENATE("R45C",'Mapa final'!$R$135),"")</f>
        <v/>
      </c>
      <c r="P150" s="49" t="str">
        <f>IF(AND('Mapa final'!$AB$133="Media",'Mapa final'!$AD$133="Moderado"),CONCATENATE("R45C",'Mapa final'!$R$133),"")</f>
        <v/>
      </c>
      <c r="Q150" s="50" t="str">
        <f>IF(AND('Mapa final'!$AB$134="Media",'Mapa final'!$AD$134="Moderado"),CONCATENATE("R45C",'Mapa final'!$R$134),"")</f>
        <v/>
      </c>
      <c r="R150" s="111" t="str">
        <f>IF(AND('Mapa final'!$AB$135="Media",'Mapa final'!$AD$135="Moderado"),CONCATENATE("R45C",'Mapa final'!$R$135),"")</f>
        <v/>
      </c>
      <c r="S150" s="105" t="str">
        <f>IF(AND('Mapa final'!$AB$133="Media",'Mapa final'!$AD$133="Mayor"),CONCATENATE("R45C",'Mapa final'!$R$133),"")</f>
        <v>R45C1</v>
      </c>
      <c r="T150" s="42" t="str">
        <f>IF(AND('Mapa final'!$AB$134="Media",'Mapa final'!$AD$134="Mayor"),CONCATENATE("R45C",'Mapa final'!$R$134),"")</f>
        <v/>
      </c>
      <c r="U150" s="106" t="str">
        <f>IF(AND('Mapa final'!$AB$135="Media",'Mapa final'!$AD$135="Mayor"),CONCATENATE("R45C",'Mapa final'!$R$135),"")</f>
        <v/>
      </c>
      <c r="V150" s="43" t="str">
        <f>IF(AND('Mapa final'!$AB$133="Media",'Mapa final'!$AD$133="Catastrófico"),CONCATENATE("R45C",'Mapa final'!$R$133),"")</f>
        <v/>
      </c>
      <c r="W150" s="44" t="str">
        <f>IF(AND('Mapa final'!$AB$134="Media",'Mapa final'!$AD$134="Catastrófico"),CONCATENATE("R45C",'Mapa final'!$R$134),"")</f>
        <v/>
      </c>
      <c r="X150" s="100" t="str">
        <f>IF(AND('Mapa final'!$AB$135="Media",'Mapa final'!$AD$135="Catastrófico"),CONCATENATE("R45C",'Mapa final'!$R$135),"")</f>
        <v/>
      </c>
      <c r="Y150" s="56"/>
      <c r="Z150" s="318"/>
      <c r="AA150" s="319"/>
      <c r="AB150" s="319"/>
      <c r="AC150" s="319"/>
      <c r="AD150" s="319"/>
      <c r="AE150" s="320"/>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row>
    <row r="151" spans="1:61" ht="15" customHeight="1" x14ac:dyDescent="0.35">
      <c r="A151" s="56"/>
      <c r="B151" s="307"/>
      <c r="C151" s="307"/>
      <c r="D151" s="308"/>
      <c r="E151" s="284"/>
      <c r="F151" s="297"/>
      <c r="G151" s="297"/>
      <c r="H151" s="297"/>
      <c r="I151" s="279"/>
      <c r="J151" s="49" t="str">
        <f>IF(AND('Mapa final'!$AB$136="Media",'Mapa final'!$AD$136="Leve"),CONCATENATE("R46C",'Mapa final'!$R$136),"")</f>
        <v/>
      </c>
      <c r="K151" s="50" t="str">
        <f>IF(AND('Mapa final'!$AB$137="Media",'Mapa final'!$AD$137="Leve"),CONCATENATE("R46C",'Mapa final'!$R$137),"")</f>
        <v/>
      </c>
      <c r="L151" s="111" t="str">
        <f>IF(AND('Mapa final'!$AB$138="Media",'Mapa final'!$AD$138="Leve"),CONCATENATE("R46C",'Mapa final'!$R$138),"")</f>
        <v/>
      </c>
      <c r="M151" s="49" t="str">
        <f>IF(AND('Mapa final'!$AB$136="Media",'Mapa final'!$AD$136="Menor"),CONCATENATE("R46C",'Mapa final'!$R$136),"")</f>
        <v/>
      </c>
      <c r="N151" s="50" t="str">
        <f>IF(AND('Mapa final'!$AB$137="Media",'Mapa final'!$AD$137="Menor"),CONCATENATE("R46C",'Mapa final'!$R$137),"")</f>
        <v/>
      </c>
      <c r="O151" s="111" t="str">
        <f>IF(AND('Mapa final'!$AB$138="Media",'Mapa final'!$AD$138="Menor"),CONCATENATE("R46C",'Mapa final'!$R$138),"")</f>
        <v/>
      </c>
      <c r="P151" s="49" t="str">
        <f>IF(AND('Mapa final'!$AB$136="Media",'Mapa final'!$AD$136="Moderado"),CONCATENATE("R46C",'Mapa final'!$R$136),"")</f>
        <v/>
      </c>
      <c r="Q151" s="50" t="str">
        <f>IF(AND('Mapa final'!$AB$137="Media",'Mapa final'!$AD$137="Moderado"),CONCATENATE("R46C",'Mapa final'!$R$137),"")</f>
        <v/>
      </c>
      <c r="R151" s="111" t="str">
        <f>IF(AND('Mapa final'!$AB$138="Media",'Mapa final'!$AD$138="Moderado"),CONCATENATE("R46C",'Mapa final'!$R$138),"")</f>
        <v/>
      </c>
      <c r="S151" s="105" t="str">
        <f>IF(AND('Mapa final'!$AB$136="Media",'Mapa final'!$AD$136="Mayor"),CONCATENATE("R46C",'Mapa final'!$R$136),"")</f>
        <v/>
      </c>
      <c r="T151" s="42" t="str">
        <f>IF(AND('Mapa final'!$AB$137="Media",'Mapa final'!$AD$137="Mayor"),CONCATENATE("R46C",'Mapa final'!$R$137),"")</f>
        <v/>
      </c>
      <c r="U151" s="106" t="str">
        <f>IF(AND('Mapa final'!$AB$138="Media",'Mapa final'!$AD$138="Mayor"),CONCATENATE("R46C",'Mapa final'!$R$138),"")</f>
        <v/>
      </c>
      <c r="V151" s="43" t="str">
        <f>IF(AND('Mapa final'!$AB$136="Media",'Mapa final'!$AD$136="Catastrófico"),CONCATENATE("R46C",'Mapa final'!$R$136),"")</f>
        <v/>
      </c>
      <c r="W151" s="44" t="str">
        <f>IF(AND('Mapa final'!$AB$137="Media",'Mapa final'!$AD$137="Catastrófico"),CONCATENATE("R46C",'Mapa final'!$R$137),"")</f>
        <v/>
      </c>
      <c r="X151" s="100" t="str">
        <f>IF(AND('Mapa final'!$AB$138="Media",'Mapa final'!$AD$138="Catastrófico"),CONCATENATE("R46C",'Mapa final'!$R$138),"")</f>
        <v/>
      </c>
      <c r="Y151" s="56"/>
      <c r="Z151" s="318"/>
      <c r="AA151" s="319"/>
      <c r="AB151" s="319"/>
      <c r="AC151" s="319"/>
      <c r="AD151" s="319"/>
      <c r="AE151" s="320"/>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row>
    <row r="152" spans="1:61" ht="15" customHeight="1" x14ac:dyDescent="0.35">
      <c r="A152" s="56"/>
      <c r="B152" s="307"/>
      <c r="C152" s="307"/>
      <c r="D152" s="308"/>
      <c r="E152" s="284"/>
      <c r="F152" s="297"/>
      <c r="G152" s="297"/>
      <c r="H152" s="297"/>
      <c r="I152" s="279"/>
      <c r="J152" s="49" t="str">
        <f>IF(AND('Mapa final'!$AB$139="Media",'Mapa final'!$AD$139="Leve"),CONCATENATE("R47C",'Mapa final'!$R$139),"")</f>
        <v/>
      </c>
      <c r="K152" s="50" t="str">
        <f>IF(AND('Mapa final'!$AB$140="Media",'Mapa final'!$AD$140="Leve"),CONCATENATE("R47C",'Mapa final'!$R$140),"")</f>
        <v/>
      </c>
      <c r="L152" s="111" t="str">
        <f>IF(AND('Mapa final'!$AB$141="Media",'Mapa final'!$AD$141="Leve"),CONCATENATE("R47C",'Mapa final'!$R$141),"")</f>
        <v/>
      </c>
      <c r="M152" s="49" t="str">
        <f>IF(AND('Mapa final'!$AB$139="Media",'Mapa final'!$AD$139="Menor"),CONCATENATE("R47C",'Mapa final'!$R$139),"")</f>
        <v/>
      </c>
      <c r="N152" s="50" t="str">
        <f>IF(AND('Mapa final'!$AB$140="Media",'Mapa final'!$AD$140="Menor"),CONCATENATE("R47C",'Mapa final'!$R$140),"")</f>
        <v/>
      </c>
      <c r="O152" s="111" t="str">
        <f>IF(AND('Mapa final'!$AB$141="Media",'Mapa final'!$AD$141="Menor"),CONCATENATE("R47C",'Mapa final'!$R$141),"")</f>
        <v/>
      </c>
      <c r="P152" s="49" t="str">
        <f>IF(AND('Mapa final'!$AB$139="Media",'Mapa final'!$AD$139="Moderado"),CONCATENATE("R47C",'Mapa final'!$R$139),"")</f>
        <v/>
      </c>
      <c r="Q152" s="50" t="str">
        <f>IF(AND('Mapa final'!$AB$140="Media",'Mapa final'!$AD$140="Moderado"),CONCATENATE("R47C",'Mapa final'!$R$140),"")</f>
        <v/>
      </c>
      <c r="R152" s="111" t="str">
        <f>IF(AND('Mapa final'!$AB$141="Media",'Mapa final'!$AD$141="Moderado"),CONCATENATE("R47C",'Mapa final'!$R$141),"")</f>
        <v/>
      </c>
      <c r="S152" s="105" t="str">
        <f>IF(AND('Mapa final'!$AB$139="Media",'Mapa final'!$AD$139="Mayor"),CONCATENATE("R47C",'Mapa final'!$R$139),"")</f>
        <v/>
      </c>
      <c r="T152" s="42" t="str">
        <f>IF(AND('Mapa final'!$AB$140="Media",'Mapa final'!$AD$140="Mayor"),CONCATENATE("R47C",'Mapa final'!$R$140),"")</f>
        <v/>
      </c>
      <c r="U152" s="106" t="str">
        <f>IF(AND('Mapa final'!$AB$141="Media",'Mapa final'!$AD$141="Mayor"),CONCATENATE("R47C",'Mapa final'!$R$141),"")</f>
        <v/>
      </c>
      <c r="V152" s="43" t="str">
        <f>IF(AND('Mapa final'!$AB$139="Media",'Mapa final'!$AD$139="Catastrófico"),CONCATENATE("R47C",'Mapa final'!$R$139),"")</f>
        <v/>
      </c>
      <c r="W152" s="44" t="str">
        <f>IF(AND('Mapa final'!$AB$140="Media",'Mapa final'!$AD$140="Catastrófico"),CONCATENATE("R47C",'Mapa final'!$R$140),"")</f>
        <v/>
      </c>
      <c r="X152" s="100" t="str">
        <f>IF(AND('Mapa final'!$AB$141="Media",'Mapa final'!$AD$141="Catastrófico"),CONCATENATE("R47C",'Mapa final'!$R$141),"")</f>
        <v/>
      </c>
      <c r="Y152" s="56"/>
      <c r="Z152" s="318"/>
      <c r="AA152" s="319"/>
      <c r="AB152" s="319"/>
      <c r="AC152" s="319"/>
      <c r="AD152" s="319"/>
      <c r="AE152" s="320"/>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row>
    <row r="153" spans="1:61" ht="15" customHeight="1" x14ac:dyDescent="0.35">
      <c r="A153" s="56"/>
      <c r="B153" s="307"/>
      <c r="C153" s="307"/>
      <c r="D153" s="308"/>
      <c r="E153" s="284"/>
      <c r="F153" s="297"/>
      <c r="G153" s="297"/>
      <c r="H153" s="297"/>
      <c r="I153" s="279"/>
      <c r="J153" s="49" t="str">
        <f>IF(AND('Mapa final'!$AB$142="Media",'Mapa final'!$AD$142="Leve"),CONCATENATE("R48C",'Mapa final'!$R$142),"")</f>
        <v/>
      </c>
      <c r="K153" s="50" t="str">
        <f>IF(AND('Mapa final'!$AB$143="Media",'Mapa final'!$AD$143="Leve"),CONCATENATE("R48C",'Mapa final'!$R$143),"")</f>
        <v/>
      </c>
      <c r="L153" s="111" t="str">
        <f>IF(AND('Mapa final'!$AB$144="Media",'Mapa final'!$AD$144="Leve"),CONCATENATE("R48C",'Mapa final'!$R$144),"")</f>
        <v/>
      </c>
      <c r="M153" s="49" t="str">
        <f>IF(AND('Mapa final'!$AB$142="Media",'Mapa final'!$AD$142="Menor"),CONCATENATE("R48C",'Mapa final'!$R$142),"")</f>
        <v/>
      </c>
      <c r="N153" s="50" t="str">
        <f>IF(AND('Mapa final'!$AB$143="Media",'Mapa final'!$AD$143="Menor"),CONCATENATE("R48C",'Mapa final'!$R$143),"")</f>
        <v/>
      </c>
      <c r="O153" s="111" t="str">
        <f>IF(AND('Mapa final'!$AB$144="Media",'Mapa final'!$AD$144="Menor"),CONCATENATE("R48C",'Mapa final'!$R$144),"")</f>
        <v/>
      </c>
      <c r="P153" s="49" t="str">
        <f>IF(AND('Mapa final'!$AB$142="Media",'Mapa final'!$AD$142="Moderado"),CONCATENATE("R48C",'Mapa final'!$R$142),"")</f>
        <v/>
      </c>
      <c r="Q153" s="50" t="str">
        <f>IF(AND('Mapa final'!$AB$143="Media",'Mapa final'!$AD$143="Moderado"),CONCATENATE("R48C",'Mapa final'!$R$143),"")</f>
        <v/>
      </c>
      <c r="R153" s="111" t="str">
        <f>IF(AND('Mapa final'!$AB$144="Media",'Mapa final'!$AD$144="Moderado"),CONCATENATE("R48C",'Mapa final'!$R$144),"")</f>
        <v/>
      </c>
      <c r="S153" s="105" t="str">
        <f>IF(AND('Mapa final'!$AB$142="Media",'Mapa final'!$AD$142="Mayor"),CONCATENATE("R48C",'Mapa final'!$R$142),"")</f>
        <v/>
      </c>
      <c r="T153" s="42" t="str">
        <f>IF(AND('Mapa final'!$AB$143="Media",'Mapa final'!$AD$143="Mayor"),CONCATENATE("R48C",'Mapa final'!$R$143),"")</f>
        <v/>
      </c>
      <c r="U153" s="106" t="str">
        <f>IF(AND('Mapa final'!$AB$144="Media",'Mapa final'!$AD$144="Mayor"),CONCATENATE("R48C",'Mapa final'!$R$144),"")</f>
        <v/>
      </c>
      <c r="V153" s="43" t="str">
        <f>IF(AND('Mapa final'!$AB$142="Media",'Mapa final'!$AD$142="Catastrófico"),CONCATENATE("R48C",'Mapa final'!$R$142),"")</f>
        <v/>
      </c>
      <c r="W153" s="44" t="str">
        <f>IF(AND('Mapa final'!$AB$143="Media",'Mapa final'!$AD$143="Catastrófico"),CONCATENATE("R48C",'Mapa final'!$R$143),"")</f>
        <v/>
      </c>
      <c r="X153" s="100" t="str">
        <f>IF(AND('Mapa final'!$AB$144="Media",'Mapa final'!$AD$144="Catastrófico"),CONCATENATE("R48C",'Mapa final'!$R$144),"")</f>
        <v/>
      </c>
      <c r="Y153" s="56"/>
      <c r="Z153" s="318"/>
      <c r="AA153" s="319"/>
      <c r="AB153" s="319"/>
      <c r="AC153" s="319"/>
      <c r="AD153" s="319"/>
      <c r="AE153" s="320"/>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row>
    <row r="154" spans="1:61" ht="15" customHeight="1" x14ac:dyDescent="0.35">
      <c r="A154" s="56"/>
      <c r="B154" s="307"/>
      <c r="C154" s="307"/>
      <c r="D154" s="308"/>
      <c r="E154" s="284"/>
      <c r="F154" s="297"/>
      <c r="G154" s="297"/>
      <c r="H154" s="297"/>
      <c r="I154" s="279"/>
      <c r="J154" s="49" t="str">
        <f>IF(AND('Mapa final'!$AB$145="Media",'Mapa final'!$AD$145="Leve"),CONCATENATE("R49C",'Mapa final'!$R$145),"")</f>
        <v/>
      </c>
      <c r="K154" s="50" t="str">
        <f>IF(AND('Mapa final'!$AB$146="Media",'Mapa final'!$AD$146="Leve"),CONCATENATE("R49C",'Mapa final'!$R$146),"")</f>
        <v/>
      </c>
      <c r="L154" s="111" t="str">
        <f>IF(AND('Mapa final'!$AB$147="Media",'Mapa final'!$AD$147="Leve"),CONCATENATE("R49C",'Mapa final'!$R$147),"")</f>
        <v/>
      </c>
      <c r="M154" s="49" t="str">
        <f>IF(AND('Mapa final'!$AB$145="Media",'Mapa final'!$AD$145="Menor"),CONCATENATE("R49C",'Mapa final'!$R$145),"")</f>
        <v/>
      </c>
      <c r="N154" s="50" t="str">
        <f>IF(AND('Mapa final'!$AB$146="Media",'Mapa final'!$AD$146="Menor"),CONCATENATE("R49C",'Mapa final'!$R$146),"")</f>
        <v/>
      </c>
      <c r="O154" s="111" t="str">
        <f>IF(AND('Mapa final'!$AB$147="Media",'Mapa final'!$AD$147="Menor"),CONCATENATE("R49C",'Mapa final'!$R$147),"")</f>
        <v/>
      </c>
      <c r="P154" s="49" t="str">
        <f>IF(AND('Mapa final'!$AB$145="Media",'Mapa final'!$AD$145="Moderado"),CONCATENATE("R49C",'Mapa final'!$R$145),"")</f>
        <v/>
      </c>
      <c r="Q154" s="50" t="str">
        <f>IF(AND('Mapa final'!$AB$146="Media",'Mapa final'!$AD$146="Moderado"),CONCATENATE("R49C",'Mapa final'!$R$146),"")</f>
        <v/>
      </c>
      <c r="R154" s="111" t="str">
        <f>IF(AND('Mapa final'!$AB$147="Media",'Mapa final'!$AD$147="Moderado"),CONCATENATE("R49C",'Mapa final'!$R$147),"")</f>
        <v/>
      </c>
      <c r="S154" s="105" t="str">
        <f>IF(AND('Mapa final'!$AB$145="Media",'Mapa final'!$AD$145="Mayor"),CONCATENATE("R49C",'Mapa final'!$R$145),"")</f>
        <v/>
      </c>
      <c r="T154" s="42" t="str">
        <f>IF(AND('Mapa final'!$AB$146="Media",'Mapa final'!$AD$146="Mayor"),CONCATENATE("R49C",'Mapa final'!$R$146),"")</f>
        <v/>
      </c>
      <c r="U154" s="106" t="str">
        <f>IF(AND('Mapa final'!$AB$147="Media",'Mapa final'!$AD$147="Mayor"),CONCATENATE("R49C",'Mapa final'!$R$147),"")</f>
        <v/>
      </c>
      <c r="V154" s="43" t="str">
        <f>IF(AND('Mapa final'!$AB$145="Media",'Mapa final'!$AD$145="Catastrófico"),CONCATENATE("R49C",'Mapa final'!$R$145),"")</f>
        <v/>
      </c>
      <c r="W154" s="44" t="str">
        <f>IF(AND('Mapa final'!$AB$146="Media",'Mapa final'!$AD$146="Catastrófico"),CONCATENATE("R49C",'Mapa final'!$R$146),"")</f>
        <v/>
      </c>
      <c r="X154" s="100" t="str">
        <f>IF(AND('Mapa final'!$AB$147="Media",'Mapa final'!$AD$147="Catastrófico"),CONCATENATE("R49C",'Mapa final'!$R$147),"")</f>
        <v/>
      </c>
      <c r="Y154" s="56"/>
      <c r="Z154" s="318"/>
      <c r="AA154" s="319"/>
      <c r="AB154" s="319"/>
      <c r="AC154" s="319"/>
      <c r="AD154" s="319"/>
      <c r="AE154" s="320"/>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row>
    <row r="155" spans="1:61" ht="15" customHeight="1" thickBot="1" x14ac:dyDescent="0.4">
      <c r="A155" s="56"/>
      <c r="B155" s="307"/>
      <c r="C155" s="307"/>
      <c r="D155" s="308"/>
      <c r="E155" s="284"/>
      <c r="F155" s="297"/>
      <c r="G155" s="297"/>
      <c r="H155" s="297"/>
      <c r="I155" s="279"/>
      <c r="J155" s="51" t="str">
        <f>IF(AND('Mapa final'!$AB$148="Media",'Mapa final'!$AD$148="Leve"),CONCATENATE("R50C",'Mapa final'!$R$148),"")</f>
        <v/>
      </c>
      <c r="K155" s="52" t="str">
        <f>IF(AND('Mapa final'!$AB$149="Media",'Mapa final'!$AD$149="Leve"),CONCATENATE("R50C",'Mapa final'!$R$149),"")</f>
        <v/>
      </c>
      <c r="L155" s="112" t="str">
        <f>IF(AND('Mapa final'!$AB$150="Media",'Mapa final'!$AD$150="Leve"),CONCATENATE("R50C",'Mapa final'!$R$150),"")</f>
        <v/>
      </c>
      <c r="M155" s="51" t="str">
        <f>IF(AND('Mapa final'!$AB$148="Media",'Mapa final'!$AD$148="Menor"),CONCATENATE("R50C",'Mapa final'!$R$148),"")</f>
        <v/>
      </c>
      <c r="N155" s="52" t="str">
        <f>IF(AND('Mapa final'!$AB$149="Media",'Mapa final'!$AD$149="Menor"),CONCATENATE("R50C",'Mapa final'!$R$149),"")</f>
        <v/>
      </c>
      <c r="O155" s="112" t="str">
        <f>IF(AND('Mapa final'!$AB$150="Media",'Mapa final'!$AD$150="Menor"),CONCATENATE("R50C",'Mapa final'!$R$150),"")</f>
        <v/>
      </c>
      <c r="P155" s="51" t="str">
        <f>IF(AND('Mapa final'!$AB$148="Media",'Mapa final'!$AD$148="Moderado"),CONCATENATE("R50C",'Mapa final'!$R$148),"")</f>
        <v/>
      </c>
      <c r="Q155" s="52" t="str">
        <f>IF(AND('Mapa final'!$AB$149="Media",'Mapa final'!$AD$149="Moderado"),CONCATENATE("R50C",'Mapa final'!$R$149),"")</f>
        <v/>
      </c>
      <c r="R155" s="112" t="str">
        <f>IF(AND('Mapa final'!$AB$150="Media",'Mapa final'!$AD$150="Moderado"),CONCATENATE("R50C",'Mapa final'!$R$150),"")</f>
        <v/>
      </c>
      <c r="S155" s="107" t="str">
        <f>IF(AND('Mapa final'!$AB$148="Media",'Mapa final'!$AD$148="Mayor"),CONCATENATE("R50C",'Mapa final'!$R$148),"")</f>
        <v/>
      </c>
      <c r="T155" s="108" t="str">
        <f>IF(AND('Mapa final'!$AB$149="Media",'Mapa final'!$AD$149="Mayor"),CONCATENATE("R50C",'Mapa final'!$R$149),"")</f>
        <v/>
      </c>
      <c r="U155" s="109" t="str">
        <f>IF(AND('Mapa final'!$AB$150="Media",'Mapa final'!$AD$150="Mayor"),CONCATENATE("R50C",'Mapa final'!$R$150),"")</f>
        <v/>
      </c>
      <c r="V155" s="45" t="str">
        <f>IF(AND('Mapa final'!$AB$148="Media",'Mapa final'!$AD$148="Catastrófico"),CONCATENATE("R50C",'Mapa final'!$R$148),"")</f>
        <v/>
      </c>
      <c r="W155" s="46" t="str">
        <f>IF(AND('Mapa final'!$AB$149="Media",'Mapa final'!$AD$149="Catastrófico"),CONCATENATE("R50C",'Mapa final'!$R$149),"")</f>
        <v/>
      </c>
      <c r="X155" s="101" t="str">
        <f>IF(AND('Mapa final'!$AB$150="Media",'Mapa final'!$AD$150="Catastrófico"),CONCATENATE("R50C",'Mapa final'!$R$150),"")</f>
        <v/>
      </c>
      <c r="Y155" s="56"/>
      <c r="Z155" s="318"/>
      <c r="AA155" s="319"/>
      <c r="AB155" s="319"/>
      <c r="AC155" s="319"/>
      <c r="AD155" s="319"/>
      <c r="AE155" s="320"/>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row>
    <row r="156" spans="1:61" ht="15" customHeight="1" x14ac:dyDescent="0.35">
      <c r="A156" s="56"/>
      <c r="B156" s="307"/>
      <c r="C156" s="307"/>
      <c r="D156" s="308"/>
      <c r="E156" s="295" t="s">
        <v>105</v>
      </c>
      <c r="F156" s="296"/>
      <c r="G156" s="296"/>
      <c r="H156" s="296"/>
      <c r="I156" s="296"/>
      <c r="J156" s="113" t="str">
        <f>IF(AND('Mapa final'!$AB$7="Baja",'Mapa final'!$AD$7="Leve"),CONCATENATE("R1C",'Mapa final'!$R$7),"")</f>
        <v/>
      </c>
      <c r="K156" s="53" t="str">
        <f>IF(AND('Mapa final'!$AB$8="Baja",'Mapa final'!$AD$8="Leve"),CONCATENATE("R1C",'Mapa final'!$R$8),"")</f>
        <v/>
      </c>
      <c r="L156" s="114" t="str">
        <f>IF(AND('Mapa final'!$AB$9="Baja",'Mapa final'!$AD$9="Leve"),CONCATENATE("R1C",'Mapa final'!$R$9),"")</f>
        <v/>
      </c>
      <c r="M156" s="47" t="str">
        <f>IF(AND('Mapa final'!$AB$7="Baja",'Mapa final'!$AD$7="Menor"),CONCATENATE("R1C",'Mapa final'!$R$7),"")</f>
        <v/>
      </c>
      <c r="N156" s="48" t="str">
        <f>IF(AND('Mapa final'!$AB$8="Baja",'Mapa final'!$AD$8="Menor"),CONCATENATE("R1C",'Mapa final'!$R$8),"")</f>
        <v/>
      </c>
      <c r="O156" s="110" t="str">
        <f>IF(AND('Mapa final'!$AB$9="Baja",'Mapa final'!$AD$9="Menor"),CONCATENATE("R1C",'Mapa final'!$R$9),"")</f>
        <v/>
      </c>
      <c r="P156" s="47" t="str">
        <f>IF(AND('Mapa final'!$AB$7="Baja",'Mapa final'!$AD$7="Moderado"),CONCATENATE("R1C",'Mapa final'!$R$7),"")</f>
        <v>R1C1</v>
      </c>
      <c r="Q156" s="48" t="str">
        <f>IF(AND('Mapa final'!$AB$8="Baja",'Mapa final'!$AD$8="Moderado"),CONCATENATE("R1C",'Mapa final'!$R$8),"")</f>
        <v/>
      </c>
      <c r="R156" s="110" t="str">
        <f>IF(AND('Mapa final'!$AB$9="Baja",'Mapa final'!$AD$9="Moderado"),CONCATENATE("R1C",'Mapa final'!$R$9),"")</f>
        <v/>
      </c>
      <c r="S156" s="102" t="str">
        <f>IF(AND('Mapa final'!$AB$7="Baja",'Mapa final'!$AD$7="Mayor"),CONCATENATE("R1C",'Mapa final'!$R$7),"")</f>
        <v/>
      </c>
      <c r="T156" s="103" t="str">
        <f>IF(AND('Mapa final'!$AB$8="Baja",'Mapa final'!$AD$8="Mayor"),CONCATENATE("R1C",'Mapa final'!$R$8),"")</f>
        <v/>
      </c>
      <c r="U156" s="104" t="str">
        <f>IF(AND('Mapa final'!$AB$9="Baja",'Mapa final'!$AD$9="Mayor"),CONCATENATE("R1C",'Mapa final'!$R$9),"")</f>
        <v/>
      </c>
      <c r="V156" s="40" t="str">
        <f>IF(AND('Mapa final'!$AB$7="Baja",'Mapa final'!$AD$7="Catastrófico"),CONCATENATE("R1C",'Mapa final'!$R$7),"")</f>
        <v/>
      </c>
      <c r="W156" s="41" t="str">
        <f>IF(AND('Mapa final'!$AB$8="Baja",'Mapa final'!$AD$8="Catastrófico"),CONCATENATE("R1C",'Mapa final'!$R$8),"")</f>
        <v/>
      </c>
      <c r="X156" s="99" t="str">
        <f>IF(AND('Mapa final'!$AB$9="Baja",'Mapa final'!$AD$9="Catastrófico"),CONCATENATE("R1C",'Mapa final'!$R$9),"")</f>
        <v/>
      </c>
      <c r="Y156" s="56"/>
      <c r="Z156" s="309" t="s">
        <v>76</v>
      </c>
      <c r="AA156" s="310"/>
      <c r="AB156" s="310"/>
      <c r="AC156" s="310"/>
      <c r="AD156" s="310"/>
      <c r="AE156" s="311"/>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row>
    <row r="157" spans="1:61" ht="15" customHeight="1" x14ac:dyDescent="0.35">
      <c r="A157" s="56"/>
      <c r="B157" s="307"/>
      <c r="C157" s="307"/>
      <c r="D157" s="308"/>
      <c r="E157" s="283"/>
      <c r="F157" s="279"/>
      <c r="G157" s="279"/>
      <c r="H157" s="279"/>
      <c r="I157" s="279"/>
      <c r="J157" s="115" t="str">
        <f>IF(AND('Mapa final'!$AB$10="Baja",'Mapa final'!$AD$10="Leve"),CONCATENATE("R2C",'Mapa final'!$R$10),"")</f>
        <v/>
      </c>
      <c r="K157" s="54" t="str">
        <f>IF(AND('Mapa final'!$AB$11="Baja",'Mapa final'!$AD$11="Leve"),CONCATENATE("R2C",'Mapa final'!$R$11),"")</f>
        <v/>
      </c>
      <c r="L157" s="116" t="str">
        <f>IF(AND('Mapa final'!$AB$12="Baja",'Mapa final'!$AD$12="Leve"),CONCATENATE("R2C",'Mapa final'!$R$12),"")</f>
        <v/>
      </c>
      <c r="M157" s="49" t="str">
        <f>IF(AND('Mapa final'!$AB$10="Baja",'Mapa final'!$AD$10="Menor"),CONCATENATE("R2C",'Mapa final'!$R$10),"")</f>
        <v/>
      </c>
      <c r="N157" s="50" t="str">
        <f>IF(AND('Mapa final'!$AB$11="Baja",'Mapa final'!$AD$11="Menor"),CONCATENATE("R2C",'Mapa final'!$R$11),"")</f>
        <v/>
      </c>
      <c r="O157" s="111" t="str">
        <f>IF(AND('Mapa final'!$AB$12="Baja",'Mapa final'!$AD$12="Menor"),CONCATENATE("R2C",'Mapa final'!$R$12),"")</f>
        <v/>
      </c>
      <c r="P157" s="49" t="str">
        <f>IF(AND('Mapa final'!$AB$10="Baja",'Mapa final'!$AD$10="Moderado"),CONCATENATE("R2C",'Mapa final'!$R$10),"")</f>
        <v>R2C1</v>
      </c>
      <c r="Q157" s="50" t="str">
        <f>IF(AND('Mapa final'!$AB$11="Baja",'Mapa final'!$AD$11="Moderado"),CONCATENATE("R2C",'Mapa final'!$R$11),"")</f>
        <v/>
      </c>
      <c r="R157" s="111" t="str">
        <f>IF(AND('Mapa final'!$AB$12="Baja",'Mapa final'!$AD$12="Moderado"),CONCATENATE("R2C",'Mapa final'!$R$12),"")</f>
        <v/>
      </c>
      <c r="S157" s="105" t="str">
        <f>IF(AND('Mapa final'!$AB$10="Baja",'Mapa final'!$AD$10="Mayor"),CONCATENATE("R2C",'Mapa final'!$R$10),"")</f>
        <v/>
      </c>
      <c r="T157" s="42" t="str">
        <f>IF(AND('Mapa final'!$AB$11="Baja",'Mapa final'!$AD$11="Mayor"),CONCATENATE("R2C",'Mapa final'!$R$11),"")</f>
        <v/>
      </c>
      <c r="U157" s="106" t="str">
        <f>IF(AND('Mapa final'!$AB$12="Baja",'Mapa final'!$AD$12="Mayor"),CONCATENATE("R2C",'Mapa final'!$R$12),"")</f>
        <v/>
      </c>
      <c r="V157" s="43" t="str">
        <f>IF(AND('Mapa final'!$AB$10="Baja",'Mapa final'!$AD$10="Catastrófico"),CONCATENATE("R2C",'Mapa final'!$R$10),"")</f>
        <v/>
      </c>
      <c r="W157" s="44" t="str">
        <f>IF(AND('Mapa final'!$AB$11="Baja",'Mapa final'!$AD$11="Catastrófico"),CONCATENATE("R2C",'Mapa final'!$R$11),"")</f>
        <v/>
      </c>
      <c r="X157" s="100" t="str">
        <f>IF(AND('Mapa final'!$AB$12="Baja",'Mapa final'!$AD$12="Catastrófico"),CONCATENATE("R2C",'Mapa final'!$R$12),"")</f>
        <v/>
      </c>
      <c r="Y157" s="56"/>
      <c r="Z157" s="312"/>
      <c r="AA157" s="313"/>
      <c r="AB157" s="313"/>
      <c r="AC157" s="313"/>
      <c r="AD157" s="313"/>
      <c r="AE157" s="314"/>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row>
    <row r="158" spans="1:61" ht="15" customHeight="1" x14ac:dyDescent="0.35">
      <c r="A158" s="56"/>
      <c r="B158" s="307"/>
      <c r="C158" s="307"/>
      <c r="D158" s="308"/>
      <c r="E158" s="283"/>
      <c r="F158" s="279"/>
      <c r="G158" s="279"/>
      <c r="H158" s="279"/>
      <c r="I158" s="279"/>
      <c r="J158" s="115" t="str">
        <f>IF(AND('Mapa final'!$AB$13="Baja",'Mapa final'!$AD$13="Leve"),CONCATENATE("R3C",'Mapa final'!$R$13),"")</f>
        <v/>
      </c>
      <c r="K158" s="54" t="str">
        <f>IF(AND('Mapa final'!$AB$14="Baja",'Mapa final'!$AD$14="Leve"),CONCATENATE("R3C",'Mapa final'!$R$14),"")</f>
        <v/>
      </c>
      <c r="L158" s="116" t="str">
        <f>IF(AND('Mapa final'!$AB$15="Baja",'Mapa final'!$AD$15="Leve"),CONCATENATE("R3C",'Mapa final'!$R$15),"")</f>
        <v/>
      </c>
      <c r="M158" s="49" t="str">
        <f>IF(AND('Mapa final'!$AB$13="Baja",'Mapa final'!$AD$13="Menor"),CONCATENATE("R3C",'Mapa final'!$R$13),"")</f>
        <v/>
      </c>
      <c r="N158" s="50" t="str">
        <f>IF(AND('Mapa final'!$AB$14="Baja",'Mapa final'!$AD$14="Menor"),CONCATENATE("R3C",'Mapa final'!$R$14),"")</f>
        <v/>
      </c>
      <c r="O158" s="111" t="str">
        <f>IF(AND('Mapa final'!$AB$15="Baja",'Mapa final'!$AD$15="Menor"),CONCATENATE("R3C",'Mapa final'!$R$15),"")</f>
        <v/>
      </c>
      <c r="P158" s="49" t="str">
        <f>IF(AND('Mapa final'!$AB$13="Baja",'Mapa final'!$AD$13="Moderado"),CONCATENATE("R3C",'Mapa final'!$R$13),"")</f>
        <v/>
      </c>
      <c r="Q158" s="50" t="str">
        <f>IF(AND('Mapa final'!$AB$14="Baja",'Mapa final'!$AD$14="Moderado"),CONCATENATE("R3C",'Mapa final'!$R$14),"")</f>
        <v/>
      </c>
      <c r="R158" s="111" t="str">
        <f>IF(AND('Mapa final'!$AB$15="Baja",'Mapa final'!$AD$15="Moderado"),CONCATENATE("R3C",'Mapa final'!$R$15),"")</f>
        <v/>
      </c>
      <c r="S158" s="105" t="str">
        <f>IF(AND('Mapa final'!$AB$13="Baja",'Mapa final'!$AD$13="Mayor"),CONCATENATE("R3C",'Mapa final'!$R$13),"")</f>
        <v/>
      </c>
      <c r="T158" s="42" t="str">
        <f>IF(AND('Mapa final'!$AB$14="Baja",'Mapa final'!$AD$14="Mayor"),CONCATENATE("R3C",'Mapa final'!$R$14),"")</f>
        <v/>
      </c>
      <c r="U158" s="106" t="str">
        <f>IF(AND('Mapa final'!$AB$15="Baja",'Mapa final'!$AD$15="Mayor"),CONCATENATE("R3C",'Mapa final'!$R$15),"")</f>
        <v/>
      </c>
      <c r="V158" s="43" t="str">
        <f>IF(AND('Mapa final'!$AB$13="Baja",'Mapa final'!$AD$13="Catastrófico"),CONCATENATE("R3C",'Mapa final'!$R$13),"")</f>
        <v/>
      </c>
      <c r="W158" s="44" t="str">
        <f>IF(AND('Mapa final'!$AB$14="Baja",'Mapa final'!$AD$14="Catastrófico"),CONCATENATE("R3C",'Mapa final'!$R$14),"")</f>
        <v/>
      </c>
      <c r="X158" s="100" t="str">
        <f>IF(AND('Mapa final'!$AB$15="Baja",'Mapa final'!$AD$15="Catastrófico"),CONCATENATE("R3C",'Mapa final'!$R$15),"")</f>
        <v/>
      </c>
      <c r="Y158" s="56"/>
      <c r="Z158" s="312"/>
      <c r="AA158" s="313"/>
      <c r="AB158" s="313"/>
      <c r="AC158" s="313"/>
      <c r="AD158" s="313"/>
      <c r="AE158" s="314"/>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row>
    <row r="159" spans="1:61" ht="15" customHeight="1" x14ac:dyDescent="0.35">
      <c r="A159" s="56"/>
      <c r="B159" s="307"/>
      <c r="C159" s="307"/>
      <c r="D159" s="308"/>
      <c r="E159" s="283"/>
      <c r="F159" s="279"/>
      <c r="G159" s="279"/>
      <c r="H159" s="279"/>
      <c r="I159" s="279"/>
      <c r="J159" s="115" t="e">
        <f>IF(AND('Mapa final'!#REF!="Baja",'Mapa final'!#REF!="Leve"),CONCATENATE("R4C",'Mapa final'!#REF!),"")</f>
        <v>#REF!</v>
      </c>
      <c r="K159" s="54" t="e">
        <f>IF(AND('Mapa final'!#REF!="Baja",'Mapa final'!#REF!="Leve"),CONCATENATE("R4C",'Mapa final'!#REF!),"")</f>
        <v>#REF!</v>
      </c>
      <c r="L159" s="116" t="e">
        <f>IF(AND('Mapa final'!#REF!="Baja",'Mapa final'!#REF!="Leve"),CONCATENATE("R4C",'Mapa final'!#REF!),"")</f>
        <v>#REF!</v>
      </c>
      <c r="M159" s="49" t="e">
        <f>IF(AND('Mapa final'!#REF!="Baja",'Mapa final'!#REF!="Menor"),CONCATENATE("R4C",'Mapa final'!#REF!),"")</f>
        <v>#REF!</v>
      </c>
      <c r="N159" s="50" t="e">
        <f>IF(AND('Mapa final'!#REF!="Baja",'Mapa final'!#REF!="Menor"),CONCATENATE("R4C",'Mapa final'!#REF!),"")</f>
        <v>#REF!</v>
      </c>
      <c r="O159" s="111" t="e">
        <f>IF(AND('Mapa final'!#REF!="Baja",'Mapa final'!#REF!="Menor"),CONCATENATE("R4C",'Mapa final'!#REF!),"")</f>
        <v>#REF!</v>
      </c>
      <c r="P159" s="49" t="e">
        <f>IF(AND('Mapa final'!#REF!="Baja",'Mapa final'!#REF!="Moderado"),CONCATENATE("R4C",'Mapa final'!#REF!),"")</f>
        <v>#REF!</v>
      </c>
      <c r="Q159" s="50" t="e">
        <f>IF(AND('Mapa final'!#REF!="Baja",'Mapa final'!#REF!="Moderado"),CONCATENATE("R4C",'Mapa final'!#REF!),"")</f>
        <v>#REF!</v>
      </c>
      <c r="R159" s="111" t="e">
        <f>IF(AND('Mapa final'!#REF!="Baja",'Mapa final'!#REF!="Moderado"),CONCATENATE("R4C",'Mapa final'!#REF!),"")</f>
        <v>#REF!</v>
      </c>
      <c r="S159" s="105" t="e">
        <f>IF(AND('Mapa final'!#REF!="Baja",'Mapa final'!#REF!="Mayor"),CONCATENATE("R4C",'Mapa final'!#REF!),"")</f>
        <v>#REF!</v>
      </c>
      <c r="T159" s="42" t="e">
        <f>IF(AND('Mapa final'!#REF!="Baja",'Mapa final'!#REF!="Mayor"),CONCATENATE("R4C",'Mapa final'!#REF!),"")</f>
        <v>#REF!</v>
      </c>
      <c r="U159" s="106" t="e">
        <f>IF(AND('Mapa final'!#REF!="Baja",'Mapa final'!#REF!="Mayor"),CONCATENATE("R4C",'Mapa final'!#REF!),"")</f>
        <v>#REF!</v>
      </c>
      <c r="V159" s="43" t="e">
        <f>IF(AND('Mapa final'!#REF!="Baja",'Mapa final'!#REF!="Catastrófico"),CONCATENATE("R4C",'Mapa final'!#REF!),"")</f>
        <v>#REF!</v>
      </c>
      <c r="W159" s="44" t="e">
        <f>IF(AND('Mapa final'!#REF!="Baja",'Mapa final'!#REF!="Catastrófico"),CONCATENATE("R4C",'Mapa final'!#REF!),"")</f>
        <v>#REF!</v>
      </c>
      <c r="X159" s="100" t="e">
        <f>IF(AND('Mapa final'!#REF!="Baja",'Mapa final'!#REF!="Catastrófico"),CONCATENATE("R4C",'Mapa final'!#REF!),"")</f>
        <v>#REF!</v>
      </c>
      <c r="Y159" s="56"/>
      <c r="Z159" s="312"/>
      <c r="AA159" s="313"/>
      <c r="AB159" s="313"/>
      <c r="AC159" s="313"/>
      <c r="AD159" s="313"/>
      <c r="AE159" s="314"/>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row>
    <row r="160" spans="1:61" ht="15" customHeight="1" x14ac:dyDescent="0.35">
      <c r="A160" s="56"/>
      <c r="B160" s="307"/>
      <c r="C160" s="307"/>
      <c r="D160" s="308"/>
      <c r="E160" s="283"/>
      <c r="F160" s="279"/>
      <c r="G160" s="279"/>
      <c r="H160" s="279"/>
      <c r="I160" s="279"/>
      <c r="J160" s="115" t="e">
        <f>IF(AND('Mapa final'!#REF!="Baja",'Mapa final'!#REF!="Leve"),CONCATENATE("R5C",'Mapa final'!#REF!),"")</f>
        <v>#REF!</v>
      </c>
      <c r="K160" s="54" t="e">
        <f>IF(AND('Mapa final'!#REF!="Baja",'Mapa final'!#REF!="Leve"),CONCATENATE("R5C",'Mapa final'!#REF!),"")</f>
        <v>#REF!</v>
      </c>
      <c r="L160" s="116" t="e">
        <f>IF(AND('Mapa final'!#REF!="Baja",'Mapa final'!#REF!="Leve"),CONCATENATE("R5C",'Mapa final'!#REF!),"")</f>
        <v>#REF!</v>
      </c>
      <c r="M160" s="49" t="e">
        <f>IF(AND('Mapa final'!#REF!="Baja",'Mapa final'!#REF!="Menor"),CONCATENATE("R5C",'Mapa final'!#REF!),"")</f>
        <v>#REF!</v>
      </c>
      <c r="N160" s="50" t="e">
        <f>IF(AND('Mapa final'!#REF!="Baja",'Mapa final'!#REF!="Menor"),CONCATENATE("R5C",'Mapa final'!#REF!),"")</f>
        <v>#REF!</v>
      </c>
      <c r="O160" s="111" t="e">
        <f>IF(AND('Mapa final'!#REF!="Baja",'Mapa final'!#REF!="Menor"),CONCATENATE("R5C",'Mapa final'!#REF!),"")</f>
        <v>#REF!</v>
      </c>
      <c r="P160" s="49" t="e">
        <f>IF(AND('Mapa final'!#REF!="Baja",'Mapa final'!#REF!="Moderado"),CONCATENATE("R5C",'Mapa final'!#REF!),"")</f>
        <v>#REF!</v>
      </c>
      <c r="Q160" s="50" t="e">
        <f>IF(AND('Mapa final'!#REF!="Baja",'Mapa final'!#REF!="Moderado"),CONCATENATE("R5C",'Mapa final'!#REF!),"")</f>
        <v>#REF!</v>
      </c>
      <c r="R160" s="111" t="e">
        <f>IF(AND('Mapa final'!#REF!="Baja",'Mapa final'!#REF!="Moderado"),CONCATENATE("R5C",'Mapa final'!#REF!),"")</f>
        <v>#REF!</v>
      </c>
      <c r="S160" s="105" t="e">
        <f>IF(AND('Mapa final'!#REF!="Baja",'Mapa final'!#REF!="Mayor"),CONCATENATE("R5C",'Mapa final'!#REF!),"")</f>
        <v>#REF!</v>
      </c>
      <c r="T160" s="42" t="e">
        <f>IF(AND('Mapa final'!#REF!="Baja",'Mapa final'!#REF!="Mayor"),CONCATENATE("R5C",'Mapa final'!#REF!),"")</f>
        <v>#REF!</v>
      </c>
      <c r="U160" s="106" t="e">
        <f>IF(AND('Mapa final'!#REF!="Baja",'Mapa final'!#REF!="Mayor"),CONCATENATE("R5C",'Mapa final'!#REF!),"")</f>
        <v>#REF!</v>
      </c>
      <c r="V160" s="43" t="e">
        <f>IF(AND('Mapa final'!#REF!="Baja",'Mapa final'!#REF!="Catastrófico"),CONCATENATE("R5C",'Mapa final'!#REF!),"")</f>
        <v>#REF!</v>
      </c>
      <c r="W160" s="44" t="e">
        <f>IF(AND('Mapa final'!#REF!="Baja",'Mapa final'!#REF!="Catastrófico"),CONCATENATE("R5C",'Mapa final'!#REF!),"")</f>
        <v>#REF!</v>
      </c>
      <c r="X160" s="100" t="e">
        <f>IF(AND('Mapa final'!#REF!="Baja",'Mapa final'!#REF!="Catastrófico"),CONCATENATE("R5C",'Mapa final'!#REF!),"")</f>
        <v>#REF!</v>
      </c>
      <c r="Y160" s="56"/>
      <c r="Z160" s="312"/>
      <c r="AA160" s="313"/>
      <c r="AB160" s="313"/>
      <c r="AC160" s="313"/>
      <c r="AD160" s="313"/>
      <c r="AE160" s="314"/>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row>
    <row r="161" spans="1:61" ht="15" customHeight="1" x14ac:dyDescent="0.35">
      <c r="A161" s="56"/>
      <c r="B161" s="307"/>
      <c r="C161" s="307"/>
      <c r="D161" s="308"/>
      <c r="E161" s="283"/>
      <c r="F161" s="279"/>
      <c r="G161" s="279"/>
      <c r="H161" s="279"/>
      <c r="I161" s="279"/>
      <c r="J161" s="115" t="str">
        <f>IF(AND('Mapa final'!$AB$16="Baja",'Mapa final'!$AD$16="Leve"),CONCATENATE("R6C",'Mapa final'!$R$16),"")</f>
        <v/>
      </c>
      <c r="K161" s="54" t="str">
        <f>IF(AND('Mapa final'!$AB$17="Baja",'Mapa final'!$AD$17="Leve"),CONCATENATE("R6C",'Mapa final'!$R$17),"")</f>
        <v/>
      </c>
      <c r="L161" s="116" t="str">
        <f>IF(AND('Mapa final'!$AB$18="Baja",'Mapa final'!$AD$18="Leve"),CONCATENATE("R6C",'Mapa final'!$R$18),"")</f>
        <v/>
      </c>
      <c r="M161" s="49" t="str">
        <f>IF(AND('Mapa final'!$AB$16="Baja",'Mapa final'!$AD$16="Menor"),CONCATENATE("R6C",'Mapa final'!$R$16),"")</f>
        <v/>
      </c>
      <c r="N161" s="50" t="str">
        <f>IF(AND('Mapa final'!$AB$17="Baja",'Mapa final'!$AD$17="Menor"),CONCATENATE("R6C",'Mapa final'!$R$17),"")</f>
        <v/>
      </c>
      <c r="O161" s="111" t="str">
        <f>IF(AND('Mapa final'!$AB$18="Baja",'Mapa final'!$AD$18="Menor"),CONCATENATE("R6C",'Mapa final'!$R$18),"")</f>
        <v/>
      </c>
      <c r="P161" s="49" t="str">
        <f>IF(AND('Mapa final'!$AB$16="Baja",'Mapa final'!$AD$16="Moderado"),CONCATENATE("R6C",'Mapa final'!$R$16),"")</f>
        <v/>
      </c>
      <c r="Q161" s="50" t="str">
        <f>IF(AND('Mapa final'!$AB$17="Baja",'Mapa final'!$AD$17="Moderado"),CONCATENATE("R6C",'Mapa final'!$R$17),"")</f>
        <v/>
      </c>
      <c r="R161" s="111" t="str">
        <f>IF(AND('Mapa final'!$AB$18="Baja",'Mapa final'!$AD$18="Moderado"),CONCATENATE("R6C",'Mapa final'!$R$18),"")</f>
        <v/>
      </c>
      <c r="S161" s="105" t="str">
        <f>IF(AND('Mapa final'!$AB$16="Baja",'Mapa final'!$AD$16="Mayor"),CONCATENATE("R6C",'Mapa final'!$R$16),"")</f>
        <v/>
      </c>
      <c r="T161" s="42" t="str">
        <f>IF(AND('Mapa final'!$AB$17="Baja",'Mapa final'!$AD$17="Mayor"),CONCATENATE("R6C",'Mapa final'!$R$17),"")</f>
        <v/>
      </c>
      <c r="U161" s="106" t="str">
        <f>IF(AND('Mapa final'!$AB$18="Baja",'Mapa final'!$AD$18="Mayor"),CONCATENATE("R6C",'Mapa final'!$R$18),"")</f>
        <v/>
      </c>
      <c r="V161" s="43" t="str">
        <f>IF(AND('Mapa final'!$AB$16="Baja",'Mapa final'!$AD$16="Catastrófico"),CONCATENATE("R6C",'Mapa final'!$R$16),"")</f>
        <v/>
      </c>
      <c r="W161" s="44" t="str">
        <f>IF(AND('Mapa final'!$AB$17="Baja",'Mapa final'!$AD$17="Catastrófico"),CONCATENATE("R6C",'Mapa final'!$R$17),"")</f>
        <v/>
      </c>
      <c r="X161" s="100" t="str">
        <f>IF(AND('Mapa final'!$AB$18="Baja",'Mapa final'!$AD$18="Catastrófico"),CONCATENATE("R6C",'Mapa final'!$R$18),"")</f>
        <v/>
      </c>
      <c r="Y161" s="56"/>
      <c r="Z161" s="312"/>
      <c r="AA161" s="313"/>
      <c r="AB161" s="313"/>
      <c r="AC161" s="313"/>
      <c r="AD161" s="313"/>
      <c r="AE161" s="314"/>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row>
    <row r="162" spans="1:61" ht="15" customHeight="1" x14ac:dyDescent="0.35">
      <c r="A162" s="56"/>
      <c r="B162" s="307"/>
      <c r="C162" s="307"/>
      <c r="D162" s="308"/>
      <c r="E162" s="283"/>
      <c r="F162" s="279"/>
      <c r="G162" s="279"/>
      <c r="H162" s="279"/>
      <c r="I162" s="279"/>
      <c r="J162" s="115" t="str">
        <f>IF(AND('Mapa final'!$AB$19="Baja",'Mapa final'!$AD$19="Leve"),CONCATENATE("R7C",'Mapa final'!$R$19),"")</f>
        <v/>
      </c>
      <c r="K162" s="54" t="str">
        <f>IF(AND('Mapa final'!$AB$20="Baja",'Mapa final'!$AD$20="Leve"),CONCATENATE("R7C",'Mapa final'!$R$20),"")</f>
        <v/>
      </c>
      <c r="L162" s="116" t="str">
        <f>IF(AND('Mapa final'!$AB$21="Baja",'Mapa final'!$AD$21="Leve"),CONCATENATE("R7C",'Mapa final'!$R$21),"")</f>
        <v/>
      </c>
      <c r="M162" s="49" t="str">
        <f>IF(AND('Mapa final'!$AB$19="Baja",'Mapa final'!$AD$19="Menor"),CONCATENATE("R7C",'Mapa final'!$R$19),"")</f>
        <v/>
      </c>
      <c r="N162" s="50" t="str">
        <f>IF(AND('Mapa final'!$AB$20="Baja",'Mapa final'!$AD$20="Menor"),CONCATENATE("R7C",'Mapa final'!$R$20),"")</f>
        <v/>
      </c>
      <c r="O162" s="111" t="str">
        <f>IF(AND('Mapa final'!$AB$21="Baja",'Mapa final'!$AD$21="Menor"),CONCATENATE("R7C",'Mapa final'!$R$21),"")</f>
        <v/>
      </c>
      <c r="P162" s="49" t="str">
        <f>IF(AND('Mapa final'!$AB$19="Baja",'Mapa final'!$AD$19="Moderado"),CONCATENATE("R7C",'Mapa final'!$R$19),"")</f>
        <v/>
      </c>
      <c r="Q162" s="50" t="str">
        <f>IF(AND('Mapa final'!$AB$20="Baja",'Mapa final'!$AD$20="Moderado"),CONCATENATE("R7C",'Mapa final'!$R$20),"")</f>
        <v/>
      </c>
      <c r="R162" s="111" t="str">
        <f>IF(AND('Mapa final'!$AB$21="Baja",'Mapa final'!$AD$21="Moderado"),CONCATENATE("R7C",'Mapa final'!$R$21),"")</f>
        <v/>
      </c>
      <c r="S162" s="105" t="str">
        <f>IF(AND('Mapa final'!$AB$19="Baja",'Mapa final'!$AD$19="Mayor"),CONCATENATE("R7C",'Mapa final'!$R$19),"")</f>
        <v/>
      </c>
      <c r="T162" s="42" t="str">
        <f>IF(AND('Mapa final'!$AB$20="Baja",'Mapa final'!$AD$20="Mayor"),CONCATENATE("R7C",'Mapa final'!$R$20),"")</f>
        <v/>
      </c>
      <c r="U162" s="106" t="str">
        <f>IF(AND('Mapa final'!$AB$21="Baja",'Mapa final'!$AD$21="Mayor"),CONCATENATE("R7C",'Mapa final'!$R$21),"")</f>
        <v/>
      </c>
      <c r="V162" s="43" t="str">
        <f>IF(AND('Mapa final'!$AB$19="Baja",'Mapa final'!$AD$19="Catastrófico"),CONCATENATE("R7C",'Mapa final'!$R$19),"")</f>
        <v/>
      </c>
      <c r="W162" s="44" t="str">
        <f>IF(AND('Mapa final'!$AB$20="Baja",'Mapa final'!$AD$20="Catastrófico"),CONCATENATE("R7C",'Mapa final'!$R$20),"")</f>
        <v/>
      </c>
      <c r="X162" s="100" t="str">
        <f>IF(AND('Mapa final'!$AB$21="Baja",'Mapa final'!$AD$21="Catastrófico"),CONCATENATE("R7C",'Mapa final'!$R$21),"")</f>
        <v/>
      </c>
      <c r="Y162" s="56"/>
      <c r="Z162" s="312"/>
      <c r="AA162" s="313"/>
      <c r="AB162" s="313"/>
      <c r="AC162" s="313"/>
      <c r="AD162" s="313"/>
      <c r="AE162" s="314"/>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row>
    <row r="163" spans="1:61" ht="15" customHeight="1" x14ac:dyDescent="0.35">
      <c r="A163" s="56"/>
      <c r="B163" s="307"/>
      <c r="C163" s="307"/>
      <c r="D163" s="308"/>
      <c r="E163" s="283"/>
      <c r="F163" s="279"/>
      <c r="G163" s="279"/>
      <c r="H163" s="279"/>
      <c r="I163" s="279"/>
      <c r="J163" s="115" t="str">
        <f>IF(AND('Mapa final'!$AB$22="Baja",'Mapa final'!$AD$22="Leve"),CONCATENATE("R8C",'Mapa final'!$R$22),"")</f>
        <v/>
      </c>
      <c r="K163" s="54" t="str">
        <f>IF(AND('Mapa final'!$AB$23="Baja",'Mapa final'!$AD$23="Leve"),CONCATENATE("R8C",'Mapa final'!$R$23),"")</f>
        <v/>
      </c>
      <c r="L163" s="116" t="str">
        <f>IF(AND('Mapa final'!$AB$24="Baja",'Mapa final'!$AD$24="Leve"),CONCATENATE("R8C",'Mapa final'!$R$24),"")</f>
        <v/>
      </c>
      <c r="M163" s="49" t="str">
        <f>IF(AND('Mapa final'!$AB$22="Baja",'Mapa final'!$AD$22="Menor"),CONCATENATE("R8C",'Mapa final'!$R$22),"")</f>
        <v/>
      </c>
      <c r="N163" s="50" t="str">
        <f>IF(AND('Mapa final'!$AB$23="Baja",'Mapa final'!$AD$23="Menor"),CONCATENATE("R8C",'Mapa final'!$R$23),"")</f>
        <v/>
      </c>
      <c r="O163" s="111" t="str">
        <f>IF(AND('Mapa final'!$AB$24="Baja",'Mapa final'!$AD$24="Menor"),CONCATENATE("R8C",'Mapa final'!$R$24),"")</f>
        <v/>
      </c>
      <c r="P163" s="49" t="str">
        <f>IF(AND('Mapa final'!$AB$22="Baja",'Mapa final'!$AD$22="Moderado"),CONCATENATE("R8C",'Mapa final'!$R$22),"")</f>
        <v/>
      </c>
      <c r="Q163" s="50" t="str">
        <f>IF(AND('Mapa final'!$AB$23="Baja",'Mapa final'!$AD$23="Moderado"),CONCATENATE("R8C",'Mapa final'!$R$23),"")</f>
        <v/>
      </c>
      <c r="R163" s="111" t="str">
        <f>IF(AND('Mapa final'!$AB$24="Baja",'Mapa final'!$AD$24="Moderado"),CONCATENATE("R8C",'Mapa final'!$R$24),"")</f>
        <v/>
      </c>
      <c r="S163" s="105" t="str">
        <f>IF(AND('Mapa final'!$AB$22="Baja",'Mapa final'!$AD$22="Mayor"),CONCATENATE("R8C",'Mapa final'!$R$22),"")</f>
        <v/>
      </c>
      <c r="T163" s="42" t="str">
        <f>IF(AND('Mapa final'!$AB$23="Baja",'Mapa final'!$AD$23="Mayor"),CONCATENATE("R8C",'Mapa final'!$R$23),"")</f>
        <v/>
      </c>
      <c r="U163" s="106" t="str">
        <f>IF(AND('Mapa final'!$AB$24="Baja",'Mapa final'!$AD$24="Mayor"),CONCATENATE("R8C",'Mapa final'!$R$24),"")</f>
        <v/>
      </c>
      <c r="V163" s="43" t="str">
        <f>IF(AND('Mapa final'!$AB$22="Baja",'Mapa final'!$AD$22="Catastrófico"),CONCATENATE("R8C",'Mapa final'!$R$22),"")</f>
        <v/>
      </c>
      <c r="W163" s="44" t="str">
        <f>IF(AND('Mapa final'!$AB$23="Baja",'Mapa final'!$AD$23="Catastrófico"),CONCATENATE("R8C",'Mapa final'!$R$23),"")</f>
        <v/>
      </c>
      <c r="X163" s="100" t="str">
        <f>IF(AND('Mapa final'!$AB$24="Baja",'Mapa final'!$AD$24="Catastrófico"),CONCATENATE("R8C",'Mapa final'!$R$24),"")</f>
        <v/>
      </c>
      <c r="Y163" s="56"/>
      <c r="Z163" s="312"/>
      <c r="AA163" s="313"/>
      <c r="AB163" s="313"/>
      <c r="AC163" s="313"/>
      <c r="AD163" s="313"/>
      <c r="AE163" s="314"/>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row>
    <row r="164" spans="1:61" ht="15" customHeight="1" x14ac:dyDescent="0.35">
      <c r="A164" s="56"/>
      <c r="B164" s="307"/>
      <c r="C164" s="307"/>
      <c r="D164" s="308"/>
      <c r="E164" s="283"/>
      <c r="F164" s="279"/>
      <c r="G164" s="279"/>
      <c r="H164" s="279"/>
      <c r="I164" s="279"/>
      <c r="J164" s="115" t="str">
        <f>IF(AND('Mapa final'!$AB$25="Baja",'Mapa final'!$AD$25="Leve"),CONCATENATE("R9C",'Mapa final'!$R$25),"")</f>
        <v/>
      </c>
      <c r="K164" s="54" t="str">
        <f>IF(AND('Mapa final'!$AB$26="Baja",'Mapa final'!$AD$26="Leve"),CONCATENATE("R9C",'Mapa final'!$R$26),"")</f>
        <v/>
      </c>
      <c r="L164" s="116" t="str">
        <f>IF(AND('Mapa final'!$AB$27="Baja",'Mapa final'!$AD$27="Leve"),CONCATENATE("R9C",'Mapa final'!$R$27),"")</f>
        <v/>
      </c>
      <c r="M164" s="49" t="str">
        <f>IF(AND('Mapa final'!$AB$25="Baja",'Mapa final'!$AD$25="Menor"),CONCATENATE("R9C",'Mapa final'!$R$25),"")</f>
        <v/>
      </c>
      <c r="N164" s="50" t="str">
        <f>IF(AND('Mapa final'!$AB$26="Baja",'Mapa final'!$AD$26="Menor"),CONCATENATE("R9C",'Mapa final'!$R$26),"")</f>
        <v/>
      </c>
      <c r="O164" s="111" t="str">
        <f>IF(AND('Mapa final'!$AB$27="Baja",'Mapa final'!$AD$27="Menor"),CONCATENATE("R9C",'Mapa final'!$R$27),"")</f>
        <v/>
      </c>
      <c r="P164" s="49" t="str">
        <f>IF(AND('Mapa final'!$AB$25="Baja",'Mapa final'!$AD$25="Moderado"),CONCATENATE("R9C",'Mapa final'!$R$25),"")</f>
        <v/>
      </c>
      <c r="Q164" s="50" t="str">
        <f>IF(AND('Mapa final'!$AB$26="Baja",'Mapa final'!$AD$26="Moderado"),CONCATENATE("R9C",'Mapa final'!$R$26),"")</f>
        <v/>
      </c>
      <c r="R164" s="111" t="str">
        <f>IF(AND('Mapa final'!$AB$27="Baja",'Mapa final'!$AD$27="Moderado"),CONCATENATE("R9C",'Mapa final'!$R$27),"")</f>
        <v/>
      </c>
      <c r="S164" s="105" t="str">
        <f>IF(AND('Mapa final'!$AB$25="Baja",'Mapa final'!$AD$25="Mayor"),CONCATENATE("R9C",'Mapa final'!$R$25),"")</f>
        <v/>
      </c>
      <c r="T164" s="42" t="str">
        <f>IF(AND('Mapa final'!$AB$26="Baja",'Mapa final'!$AD$26="Mayor"),CONCATENATE("R9C",'Mapa final'!$R$26),"")</f>
        <v>R9C2</v>
      </c>
      <c r="U164" s="106" t="str">
        <f>IF(AND('Mapa final'!$AB$27="Baja",'Mapa final'!$AD$27="Mayor"),CONCATENATE("R9C",'Mapa final'!$R$27),"")</f>
        <v/>
      </c>
      <c r="V164" s="43" t="str">
        <f>IF(AND('Mapa final'!$AB$25="Baja",'Mapa final'!$AD$25="Catastrófico"),CONCATENATE("R9C",'Mapa final'!$R$25),"")</f>
        <v/>
      </c>
      <c r="W164" s="44" t="str">
        <f>IF(AND('Mapa final'!$AB$26="Baja",'Mapa final'!$AD$26="Catastrófico"),CONCATENATE("R9C",'Mapa final'!$R$26),"")</f>
        <v/>
      </c>
      <c r="X164" s="100" t="str">
        <f>IF(AND('Mapa final'!$AB$27="Baja",'Mapa final'!$AD$27="Catastrófico"),CONCATENATE("R9C",'Mapa final'!$R$27),"")</f>
        <v/>
      </c>
      <c r="Y164" s="56"/>
      <c r="Z164" s="312"/>
      <c r="AA164" s="313"/>
      <c r="AB164" s="313"/>
      <c r="AC164" s="313"/>
      <c r="AD164" s="313"/>
      <c r="AE164" s="314"/>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row>
    <row r="165" spans="1:61" ht="15" customHeight="1" x14ac:dyDescent="0.35">
      <c r="A165" s="56"/>
      <c r="B165" s="307"/>
      <c r="C165" s="307"/>
      <c r="D165" s="308"/>
      <c r="E165" s="283"/>
      <c r="F165" s="279"/>
      <c r="G165" s="279"/>
      <c r="H165" s="279"/>
      <c r="I165" s="279"/>
      <c r="J165" s="115" t="str">
        <f>IF(AND('Mapa final'!$AB$28="Baja",'Mapa final'!$AD$28="Leve"),CONCATENATE("R10C",'Mapa final'!$R$28),"")</f>
        <v/>
      </c>
      <c r="K165" s="54" t="str">
        <f>IF(AND('Mapa final'!$AB$29="Baja",'Mapa final'!$AD$29="Leve"),CONCATENATE("R10C",'Mapa final'!$R$29),"")</f>
        <v/>
      </c>
      <c r="L165" s="116" t="str">
        <f>IF(AND('Mapa final'!$AB$30="Baja",'Mapa final'!$AD$30="Leve"),CONCATENATE("R10C",'Mapa final'!$R$30),"")</f>
        <v/>
      </c>
      <c r="M165" s="49" t="str">
        <f>IF(AND('Mapa final'!$AB$28="Baja",'Mapa final'!$AD$28="Menor"),CONCATENATE("R10C",'Mapa final'!$R$28),"")</f>
        <v/>
      </c>
      <c r="N165" s="50" t="str">
        <f>IF(AND('Mapa final'!$AB$29="Baja",'Mapa final'!$AD$29="Menor"),CONCATENATE("R10C",'Mapa final'!$R$29),"")</f>
        <v/>
      </c>
      <c r="O165" s="111" t="str">
        <f>IF(AND('Mapa final'!$AB$30="Baja",'Mapa final'!$AD$30="Menor"),CONCATENATE("R10C",'Mapa final'!$R$30),"")</f>
        <v/>
      </c>
      <c r="P165" s="49" t="str">
        <f>IF(AND('Mapa final'!$AB$28="Baja",'Mapa final'!$AD$28="Moderado"),CONCATENATE("R10C",'Mapa final'!$R$28),"")</f>
        <v/>
      </c>
      <c r="Q165" s="50" t="str">
        <f>IF(AND('Mapa final'!$AB$29="Baja",'Mapa final'!$AD$29="Moderado"),CONCATENATE("R10C",'Mapa final'!$R$29),"")</f>
        <v>R10C2</v>
      </c>
      <c r="R165" s="111" t="str">
        <f>IF(AND('Mapa final'!$AB$30="Baja",'Mapa final'!$AD$30="Moderado"),CONCATENATE("R10C",'Mapa final'!$R$30),"")</f>
        <v>R10C3</v>
      </c>
      <c r="S165" s="105" t="str">
        <f>IF(AND('Mapa final'!$AB$28="Baja",'Mapa final'!$AD$28="Mayor"),CONCATENATE("R10C",'Mapa final'!$R$28),"")</f>
        <v/>
      </c>
      <c r="T165" s="42" t="str">
        <f>IF(AND('Mapa final'!$AB$29="Baja",'Mapa final'!$AD$29="Mayor"),CONCATENATE("R10C",'Mapa final'!$R$29),"")</f>
        <v/>
      </c>
      <c r="U165" s="106" t="str">
        <f>IF(AND('Mapa final'!$AB$30="Baja",'Mapa final'!$AD$30="Mayor"),CONCATENATE("R10C",'Mapa final'!$R$30),"")</f>
        <v/>
      </c>
      <c r="V165" s="43" t="str">
        <f>IF(AND('Mapa final'!$AB$28="Baja",'Mapa final'!$AD$28="Catastrófico"),CONCATENATE("R10C",'Mapa final'!$R$28),"")</f>
        <v/>
      </c>
      <c r="W165" s="44" t="str">
        <f>IF(AND('Mapa final'!$AB$29="Baja",'Mapa final'!$AD$29="Catastrófico"),CONCATENATE("R10C",'Mapa final'!$R$29),"")</f>
        <v/>
      </c>
      <c r="X165" s="100" t="str">
        <f>IF(AND('Mapa final'!$AB$30="Baja",'Mapa final'!$AD$30="Catastrófico"),CONCATENATE("R10C",'Mapa final'!$R$30),"")</f>
        <v/>
      </c>
      <c r="Y165" s="56"/>
      <c r="Z165" s="312"/>
      <c r="AA165" s="313"/>
      <c r="AB165" s="313"/>
      <c r="AC165" s="313"/>
      <c r="AD165" s="313"/>
      <c r="AE165" s="314"/>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row>
    <row r="166" spans="1:61" ht="15" customHeight="1" x14ac:dyDescent="0.35">
      <c r="A166" s="56"/>
      <c r="B166" s="307"/>
      <c r="C166" s="307"/>
      <c r="D166" s="308"/>
      <c r="E166" s="283"/>
      <c r="F166" s="279"/>
      <c r="G166" s="279"/>
      <c r="H166" s="279"/>
      <c r="I166" s="279"/>
      <c r="J166" s="115" t="str">
        <f>IF(AND('Mapa final'!$AB$31="Baja",'Mapa final'!$AD$31="Leve"),CONCATENATE("R11C",'Mapa final'!$R$31),"")</f>
        <v/>
      </c>
      <c r="K166" s="54" t="str">
        <f>IF(AND('Mapa final'!$AB$32="Baja",'Mapa final'!$AD$32="Leve"),CONCATENATE("R11C",'Mapa final'!$R$32),"")</f>
        <v/>
      </c>
      <c r="L166" s="116" t="str">
        <f>IF(AND('Mapa final'!$AB$33="Baja",'Mapa final'!$AD$33="Leve"),CONCATENATE("R11C",'Mapa final'!$R$33),"")</f>
        <v/>
      </c>
      <c r="M166" s="49" t="str">
        <f>IF(AND('Mapa final'!$AB$31="Baja",'Mapa final'!$AD$31="Menor"),CONCATENATE("R11C",'Mapa final'!$R$31),"")</f>
        <v/>
      </c>
      <c r="N166" s="50" t="str">
        <f>IF(AND('Mapa final'!$AB$32="Baja",'Mapa final'!$AD$32="Menor"),CONCATENATE("R11C",'Mapa final'!$R$32),"")</f>
        <v/>
      </c>
      <c r="O166" s="111" t="str">
        <f>IF(AND('Mapa final'!$AB$33="Baja",'Mapa final'!$AD$33="Menor"),CONCATENATE("R11C",'Mapa final'!$R$33),"")</f>
        <v/>
      </c>
      <c r="P166" s="49" t="str">
        <f>IF(AND('Mapa final'!$AB$31="Baja",'Mapa final'!$AD$31="Moderado"),CONCATENATE("R11C",'Mapa final'!$R$31),"")</f>
        <v/>
      </c>
      <c r="Q166" s="50" t="str">
        <f>IF(AND('Mapa final'!$AB$32="Baja",'Mapa final'!$AD$32="Moderado"),CONCATENATE("R11C",'Mapa final'!$R$32),"")</f>
        <v/>
      </c>
      <c r="R166" s="111" t="str">
        <f>IF(AND('Mapa final'!$AB$33="Baja",'Mapa final'!$AD$33="Moderado"),CONCATENATE("R11C",'Mapa final'!$R$33),"")</f>
        <v/>
      </c>
      <c r="S166" s="105" t="str">
        <f>IF(AND('Mapa final'!$AB$31="Baja",'Mapa final'!$AD$31="Mayor"),CONCATENATE("R11C",'Mapa final'!$R$31),"")</f>
        <v>R11C1</v>
      </c>
      <c r="T166" s="42" t="str">
        <f>IF(AND('Mapa final'!$AB$32="Baja",'Mapa final'!$AD$32="Mayor"),CONCATENATE("R11C",'Mapa final'!$R$32),"")</f>
        <v/>
      </c>
      <c r="U166" s="106" t="str">
        <f>IF(AND('Mapa final'!$AB$33="Baja",'Mapa final'!$AD$33="Mayor"),CONCATENATE("R11C",'Mapa final'!$R$33),"")</f>
        <v/>
      </c>
      <c r="V166" s="43" t="str">
        <f>IF(AND('Mapa final'!$AB$31="Baja",'Mapa final'!$AD$31="Catastrófico"),CONCATENATE("R11C",'Mapa final'!$R$31),"")</f>
        <v/>
      </c>
      <c r="W166" s="44" t="str">
        <f>IF(AND('Mapa final'!$AB$32="Baja",'Mapa final'!$AD$32="Catastrófico"),CONCATENATE("R11C",'Mapa final'!$R$32),"")</f>
        <v/>
      </c>
      <c r="X166" s="100" t="str">
        <f>IF(AND('Mapa final'!$AB$33="Baja",'Mapa final'!$AD$33="Catastrófico"),CONCATENATE("R11C",'Mapa final'!$R$33),"")</f>
        <v/>
      </c>
      <c r="Y166" s="56"/>
      <c r="Z166" s="312"/>
      <c r="AA166" s="313"/>
      <c r="AB166" s="313"/>
      <c r="AC166" s="313"/>
      <c r="AD166" s="313"/>
      <c r="AE166" s="314"/>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row>
    <row r="167" spans="1:61" ht="15" customHeight="1" x14ac:dyDescent="0.35">
      <c r="A167" s="56"/>
      <c r="B167" s="307"/>
      <c r="C167" s="307"/>
      <c r="D167" s="308"/>
      <c r="E167" s="283"/>
      <c r="F167" s="279"/>
      <c r="G167" s="279"/>
      <c r="H167" s="279"/>
      <c r="I167" s="279"/>
      <c r="J167" s="115" t="str">
        <f>IF(AND('Mapa final'!$AB$34="Baja",'Mapa final'!$AD$34="Leve"),CONCATENATE("R12C",'Mapa final'!$R$34),"")</f>
        <v/>
      </c>
      <c r="K167" s="54" t="str">
        <f>IF(AND('Mapa final'!$AB$35="Baja",'Mapa final'!$AD$35="Leve"),CONCATENATE("R12C",'Mapa final'!$R$35),"")</f>
        <v/>
      </c>
      <c r="L167" s="116" t="str">
        <f>IF(AND('Mapa final'!$AB$36="Baja",'Mapa final'!$AD$36="Leve"),CONCATENATE("R12C",'Mapa final'!$R$36),"")</f>
        <v/>
      </c>
      <c r="M167" s="49" t="str">
        <f>IF(AND('Mapa final'!$AB$34="Baja",'Mapa final'!$AD$34="Menor"),CONCATENATE("R12C",'Mapa final'!$R$34),"")</f>
        <v/>
      </c>
      <c r="N167" s="50" t="str">
        <f>IF(AND('Mapa final'!$AB$35="Baja",'Mapa final'!$AD$35="Menor"),CONCATENATE("R12C",'Mapa final'!$R$35),"")</f>
        <v/>
      </c>
      <c r="O167" s="111" t="str">
        <f>IF(AND('Mapa final'!$AB$36="Baja",'Mapa final'!$AD$36="Menor"),CONCATENATE("R12C",'Mapa final'!$R$36),"")</f>
        <v/>
      </c>
      <c r="P167" s="49" t="str">
        <f>IF(AND('Mapa final'!$AB$34="Baja",'Mapa final'!$AD$34="Moderado"),CONCATENATE("R12C",'Mapa final'!$R$34),"")</f>
        <v>R12C1</v>
      </c>
      <c r="Q167" s="50" t="str">
        <f>IF(AND('Mapa final'!$AB$35="Baja",'Mapa final'!$AD$35="Moderado"),CONCATENATE("R12C",'Mapa final'!$R$35),"")</f>
        <v/>
      </c>
      <c r="R167" s="111" t="str">
        <f>IF(AND('Mapa final'!$AB$36="Baja",'Mapa final'!$AD$36="Moderado"),CONCATENATE("R12C",'Mapa final'!$R$36),"")</f>
        <v/>
      </c>
      <c r="S167" s="105" t="str">
        <f>IF(AND('Mapa final'!$AB$34="Baja",'Mapa final'!$AD$34="Mayor"),CONCATENATE("R12C",'Mapa final'!$R$34),"")</f>
        <v/>
      </c>
      <c r="T167" s="42" t="str">
        <f>IF(AND('Mapa final'!$AB$35="Baja",'Mapa final'!$AD$35="Mayor"),CONCATENATE("R12C",'Mapa final'!$R$35),"")</f>
        <v/>
      </c>
      <c r="U167" s="106" t="str">
        <f>IF(AND('Mapa final'!$AB$36="Baja",'Mapa final'!$AD$36="Mayor"),CONCATENATE("R12C",'Mapa final'!$R$36),"")</f>
        <v/>
      </c>
      <c r="V167" s="43" t="str">
        <f>IF(AND('Mapa final'!$AB$34="Baja",'Mapa final'!$AD$34="Catastrófico"),CONCATENATE("R12C",'Mapa final'!$R$34),"")</f>
        <v/>
      </c>
      <c r="W167" s="44" t="str">
        <f>IF(AND('Mapa final'!$AB$35="Baja",'Mapa final'!$AD$35="Catastrófico"),CONCATENATE("R12C",'Mapa final'!$R$35),"")</f>
        <v/>
      </c>
      <c r="X167" s="100" t="str">
        <f>IF(AND('Mapa final'!$AB$36="Baja",'Mapa final'!$AD$36="Catastrófico"),CONCATENATE("R12C",'Mapa final'!$R$36),"")</f>
        <v/>
      </c>
      <c r="Y167" s="56"/>
      <c r="Z167" s="312"/>
      <c r="AA167" s="313"/>
      <c r="AB167" s="313"/>
      <c r="AC167" s="313"/>
      <c r="AD167" s="313"/>
      <c r="AE167" s="314"/>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row>
    <row r="168" spans="1:61" ht="15" customHeight="1" x14ac:dyDescent="0.35">
      <c r="A168" s="56"/>
      <c r="B168" s="307"/>
      <c r="C168" s="307"/>
      <c r="D168" s="308"/>
      <c r="E168" s="283"/>
      <c r="F168" s="279"/>
      <c r="G168" s="279"/>
      <c r="H168" s="279"/>
      <c r="I168" s="279"/>
      <c r="J168" s="115" t="str">
        <f>IF(AND('Mapa final'!$AB$37="Baja",'Mapa final'!$AD$37="Leve"),CONCATENATE("R13C",'Mapa final'!$R$37),"")</f>
        <v/>
      </c>
      <c r="K168" s="54" t="str">
        <f>IF(AND('Mapa final'!$AB$38="Baja",'Mapa final'!$AD$38="Leve"),CONCATENATE("R13C",'Mapa final'!$R$38),"")</f>
        <v/>
      </c>
      <c r="L168" s="116" t="str">
        <f>IF(AND('Mapa final'!$AB$39="Baja",'Mapa final'!$AD$39="Leve"),CONCATENATE("R13C",'Mapa final'!$R$39),"")</f>
        <v/>
      </c>
      <c r="M168" s="49" t="str">
        <f>IF(AND('Mapa final'!$AB$37="Baja",'Mapa final'!$AD$37="Menor"),CONCATENATE("R13C",'Mapa final'!$R$37),"")</f>
        <v/>
      </c>
      <c r="N168" s="50" t="str">
        <f>IF(AND('Mapa final'!$AB$38="Baja",'Mapa final'!$AD$38="Menor"),CONCATENATE("R13C",'Mapa final'!$R$38),"")</f>
        <v/>
      </c>
      <c r="O168" s="111" t="str">
        <f>IF(AND('Mapa final'!$AB$39="Baja",'Mapa final'!$AD$39="Menor"),CONCATENATE("R13C",'Mapa final'!$R$39),"")</f>
        <v/>
      </c>
      <c r="P168" s="49" t="str">
        <f>IF(AND('Mapa final'!$AB$37="Baja",'Mapa final'!$AD$37="Moderado"),CONCATENATE("R13C",'Mapa final'!$R$37),"")</f>
        <v/>
      </c>
      <c r="Q168" s="50" t="str">
        <f>IF(AND('Mapa final'!$AB$38="Baja",'Mapa final'!$AD$38="Moderado"),CONCATENATE("R13C",'Mapa final'!$R$38),"")</f>
        <v/>
      </c>
      <c r="R168" s="111" t="str">
        <f>IF(AND('Mapa final'!$AB$39="Baja",'Mapa final'!$AD$39="Moderado"),CONCATENATE("R13C",'Mapa final'!$R$39),"")</f>
        <v/>
      </c>
      <c r="S168" s="105" t="str">
        <f>IF(AND('Mapa final'!$AB$37="Baja",'Mapa final'!$AD$37="Mayor"),CONCATENATE("R13C",'Mapa final'!$R$37),"")</f>
        <v/>
      </c>
      <c r="T168" s="42" t="str">
        <f>IF(AND('Mapa final'!$AB$38="Baja",'Mapa final'!$AD$38="Mayor"),CONCATENATE("R13C",'Mapa final'!$R$38),"")</f>
        <v/>
      </c>
      <c r="U168" s="106" t="str">
        <f>IF(AND('Mapa final'!$AB$39="Baja",'Mapa final'!$AD$39="Mayor"),CONCATENATE("R13C",'Mapa final'!$R$39),"")</f>
        <v/>
      </c>
      <c r="V168" s="43" t="str">
        <f>IF(AND('Mapa final'!$AB$37="Baja",'Mapa final'!$AD$37="Catastrófico"),CONCATENATE("R13C",'Mapa final'!$R$37),"")</f>
        <v/>
      </c>
      <c r="W168" s="44" t="str">
        <f>IF(AND('Mapa final'!$AB$38="Baja",'Mapa final'!$AD$38="Catastrófico"),CONCATENATE("R13C",'Mapa final'!$R$38),"")</f>
        <v/>
      </c>
      <c r="X168" s="100" t="str">
        <f>IF(AND('Mapa final'!$AB$39="Baja",'Mapa final'!$AD$39="Catastrófico"),CONCATENATE("R13C",'Mapa final'!$R$39),"")</f>
        <v/>
      </c>
      <c r="Y168" s="56"/>
      <c r="Z168" s="312"/>
      <c r="AA168" s="313"/>
      <c r="AB168" s="313"/>
      <c r="AC168" s="313"/>
      <c r="AD168" s="313"/>
      <c r="AE168" s="314"/>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row>
    <row r="169" spans="1:61" ht="15" customHeight="1" x14ac:dyDescent="0.35">
      <c r="A169" s="56"/>
      <c r="B169" s="307"/>
      <c r="C169" s="307"/>
      <c r="D169" s="308"/>
      <c r="E169" s="283"/>
      <c r="F169" s="279"/>
      <c r="G169" s="279"/>
      <c r="H169" s="279"/>
      <c r="I169" s="279"/>
      <c r="J169" s="115" t="str">
        <f>IF(AND('Mapa final'!$AB$40="Baja",'Mapa final'!$AD$40="Leve"),CONCATENATE("R14C",'Mapa final'!$R$40),"")</f>
        <v/>
      </c>
      <c r="K169" s="54" t="str">
        <f>IF(AND('Mapa final'!$AB$41="Baja",'Mapa final'!$AD$41="Leve"),CONCATENATE("R14C",'Mapa final'!$R$41),"")</f>
        <v/>
      </c>
      <c r="L169" s="116" t="str">
        <f>IF(AND('Mapa final'!$AB$42="Baja",'Mapa final'!$AD$42="Leve"),CONCATENATE("R14C",'Mapa final'!$R$42),"")</f>
        <v/>
      </c>
      <c r="M169" s="49" t="str">
        <f>IF(AND('Mapa final'!$AB$40="Baja",'Mapa final'!$AD$40="Menor"),CONCATENATE("R14C",'Mapa final'!$R$40),"")</f>
        <v/>
      </c>
      <c r="N169" s="50" t="str">
        <f>IF(AND('Mapa final'!$AB$41="Baja",'Mapa final'!$AD$41="Menor"),CONCATENATE("R14C",'Mapa final'!$R$41),"")</f>
        <v/>
      </c>
      <c r="O169" s="111" t="str">
        <f>IF(AND('Mapa final'!$AB$42="Baja",'Mapa final'!$AD$42="Menor"),CONCATENATE("R14C",'Mapa final'!$R$42),"")</f>
        <v/>
      </c>
      <c r="P169" s="49" t="str">
        <f>IF(AND('Mapa final'!$AB$40="Baja",'Mapa final'!$AD$40="Moderado"),CONCATENATE("R14C",'Mapa final'!$R$40),"")</f>
        <v>R14C1</v>
      </c>
      <c r="Q169" s="50" t="str">
        <f>IF(AND('Mapa final'!$AB$41="Baja",'Mapa final'!$AD$41="Moderado"),CONCATENATE("R14C",'Mapa final'!$R$41),"")</f>
        <v/>
      </c>
      <c r="R169" s="111" t="str">
        <f>IF(AND('Mapa final'!$AB$42="Baja",'Mapa final'!$AD$42="Moderado"),CONCATENATE("R14C",'Mapa final'!$R$42),"")</f>
        <v/>
      </c>
      <c r="S169" s="105" t="str">
        <f>IF(AND('Mapa final'!$AB$40="Baja",'Mapa final'!$AD$40="Mayor"),CONCATENATE("R14C",'Mapa final'!$R$40),"")</f>
        <v/>
      </c>
      <c r="T169" s="42" t="str">
        <f>IF(AND('Mapa final'!$AB$41="Baja",'Mapa final'!$AD$41="Mayor"),CONCATENATE("R14C",'Mapa final'!$R$41),"")</f>
        <v/>
      </c>
      <c r="U169" s="106" t="str">
        <f>IF(AND('Mapa final'!$AB$42="Baja",'Mapa final'!$AD$42="Mayor"),CONCATENATE("R14C",'Mapa final'!$R$42),"")</f>
        <v/>
      </c>
      <c r="V169" s="43" t="str">
        <f>IF(AND('Mapa final'!$AB$40="Baja",'Mapa final'!$AD$40="Catastrófico"),CONCATENATE("R14C",'Mapa final'!$R$40),"")</f>
        <v/>
      </c>
      <c r="W169" s="44" t="str">
        <f>IF(AND('Mapa final'!$AB$41="Baja",'Mapa final'!$AD$41="Catastrófico"),CONCATENATE("R14C",'Mapa final'!$R$41),"")</f>
        <v/>
      </c>
      <c r="X169" s="100" t="str">
        <f>IF(AND('Mapa final'!$AB$42="Baja",'Mapa final'!$AD$42="Catastrófico"),CONCATENATE("R14C",'Mapa final'!$R$42),"")</f>
        <v/>
      </c>
      <c r="Y169" s="56"/>
      <c r="Z169" s="312"/>
      <c r="AA169" s="313"/>
      <c r="AB169" s="313"/>
      <c r="AC169" s="313"/>
      <c r="AD169" s="313"/>
      <c r="AE169" s="314"/>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row>
    <row r="170" spans="1:61" ht="15" customHeight="1" x14ac:dyDescent="0.35">
      <c r="A170" s="56"/>
      <c r="B170" s="307"/>
      <c r="C170" s="307"/>
      <c r="D170" s="308"/>
      <c r="E170" s="283"/>
      <c r="F170" s="279"/>
      <c r="G170" s="279"/>
      <c r="H170" s="279"/>
      <c r="I170" s="279"/>
      <c r="J170" s="115" t="str">
        <f>IF(AND('Mapa final'!$AB$43="Baja",'Mapa final'!$AD$43="Leve"),CONCATENATE("R15C",'Mapa final'!$R$43),"")</f>
        <v/>
      </c>
      <c r="K170" s="54" t="str">
        <f>IF(AND('Mapa final'!$AB$44="Baja",'Mapa final'!$AD$44="Leve"),CONCATENATE("R15C",'Mapa final'!$R$44),"")</f>
        <v/>
      </c>
      <c r="L170" s="116" t="str">
        <f>IF(AND('Mapa final'!$AB$45="Baja",'Mapa final'!$AD$45="Leve"),CONCATENATE("R15C",'Mapa final'!$R$45),"")</f>
        <v/>
      </c>
      <c r="M170" s="49" t="str">
        <f>IF(AND('Mapa final'!$AB$43="Baja",'Mapa final'!$AD$43="Menor"),CONCATENATE("R15C",'Mapa final'!$R$43),"")</f>
        <v/>
      </c>
      <c r="N170" s="50" t="str">
        <f>IF(AND('Mapa final'!$AB$44="Baja",'Mapa final'!$AD$44="Menor"),CONCATENATE("R15C",'Mapa final'!$R$44),"")</f>
        <v/>
      </c>
      <c r="O170" s="111" t="str">
        <f>IF(AND('Mapa final'!$AB$45="Baja",'Mapa final'!$AD$45="Menor"),CONCATENATE("R15C",'Mapa final'!$R$45),"")</f>
        <v/>
      </c>
      <c r="P170" s="49" t="str">
        <f>IF(AND('Mapa final'!$AB$43="Baja",'Mapa final'!$AD$43="Moderado"),CONCATENATE("R15C",'Mapa final'!$R$43),"")</f>
        <v/>
      </c>
      <c r="Q170" s="50" t="str">
        <f>IF(AND('Mapa final'!$AB$44="Baja",'Mapa final'!$AD$44="Moderado"),CONCATENATE("R15C",'Mapa final'!$R$44),"")</f>
        <v/>
      </c>
      <c r="R170" s="111" t="str">
        <f>IF(AND('Mapa final'!$AB$45="Baja",'Mapa final'!$AD$45="Moderado"),CONCATENATE("R15C",'Mapa final'!$R$45),"")</f>
        <v/>
      </c>
      <c r="S170" s="105" t="str">
        <f>IF(AND('Mapa final'!$AB$43="Baja",'Mapa final'!$AD$43="Mayor"),CONCATENATE("R15C",'Mapa final'!$R$43),"")</f>
        <v/>
      </c>
      <c r="T170" s="42" t="str">
        <f>IF(AND('Mapa final'!$AB$44="Baja",'Mapa final'!$AD$44="Mayor"),CONCATENATE("R15C",'Mapa final'!$R$44),"")</f>
        <v/>
      </c>
      <c r="U170" s="106" t="str">
        <f>IF(AND('Mapa final'!$AB$45="Baja",'Mapa final'!$AD$45="Mayor"),CONCATENATE("R15C",'Mapa final'!$R$45),"")</f>
        <v/>
      </c>
      <c r="V170" s="43" t="str">
        <f>IF(AND('Mapa final'!$AB$43="Baja",'Mapa final'!$AD$43="Catastrófico"),CONCATENATE("R15C",'Mapa final'!$R$43),"")</f>
        <v/>
      </c>
      <c r="W170" s="44" t="str">
        <f>IF(AND('Mapa final'!$AB$44="Baja",'Mapa final'!$AD$44="Catastrófico"),CONCATENATE("R15C",'Mapa final'!$R$44),"")</f>
        <v/>
      </c>
      <c r="X170" s="100" t="str">
        <f>IF(AND('Mapa final'!$AB$45="Baja",'Mapa final'!$AD$45="Catastrófico"),CONCATENATE("R15C",'Mapa final'!$R$45),"")</f>
        <v/>
      </c>
      <c r="Y170" s="56"/>
      <c r="Z170" s="312"/>
      <c r="AA170" s="313"/>
      <c r="AB170" s="313"/>
      <c r="AC170" s="313"/>
      <c r="AD170" s="313"/>
      <c r="AE170" s="314"/>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row>
    <row r="171" spans="1:61" ht="15" customHeight="1" x14ac:dyDescent="0.35">
      <c r="A171" s="56"/>
      <c r="B171" s="307"/>
      <c r="C171" s="307"/>
      <c r="D171" s="308"/>
      <c r="E171" s="283"/>
      <c r="F171" s="279"/>
      <c r="G171" s="279"/>
      <c r="H171" s="279"/>
      <c r="I171" s="279"/>
      <c r="J171" s="115" t="str">
        <f>IF(AND('Mapa final'!$AB$46="Baja",'Mapa final'!$AD$46="Leve"),CONCATENATE("R16C",'Mapa final'!$R$46),"")</f>
        <v/>
      </c>
      <c r="K171" s="54" t="str">
        <f>IF(AND('Mapa final'!$AB$47="Baja",'Mapa final'!$AD$47="Leve"),CONCATENATE("R16C",'Mapa final'!$R$47),"")</f>
        <v/>
      </c>
      <c r="L171" s="116" t="str">
        <f>IF(AND('Mapa final'!$AB$48="Baja",'Mapa final'!$AD$48="Leve"),CONCATENATE("R16C",'Mapa final'!$R$48),"")</f>
        <v/>
      </c>
      <c r="M171" s="49" t="str">
        <f>IF(AND('Mapa final'!$AB$46="Baja",'Mapa final'!$AD$46="Menor"),CONCATENATE("R16C",'Mapa final'!$R$46),"")</f>
        <v/>
      </c>
      <c r="N171" s="50" t="str">
        <f>IF(AND('Mapa final'!$AB$47="Baja",'Mapa final'!$AD$47="Menor"),CONCATENATE("R16C",'Mapa final'!$R$47),"")</f>
        <v/>
      </c>
      <c r="O171" s="111" t="str">
        <f>IF(AND('Mapa final'!$AB$48="Baja",'Mapa final'!$AD$48="Menor"),CONCATENATE("R16C",'Mapa final'!$R$48),"")</f>
        <v/>
      </c>
      <c r="P171" s="49" t="str">
        <f>IF(AND('Mapa final'!$AB$46="Baja",'Mapa final'!$AD$46="Moderado"),CONCATENATE("R16C",'Mapa final'!$R$46),"")</f>
        <v>R16C1</v>
      </c>
      <c r="Q171" s="50" t="str">
        <f>IF(AND('Mapa final'!$AB$47="Baja",'Mapa final'!$AD$47="Moderado"),CONCATENATE("R16C",'Mapa final'!$R$47),"")</f>
        <v/>
      </c>
      <c r="R171" s="111" t="str">
        <f>IF(AND('Mapa final'!$AB$48="Baja",'Mapa final'!$AD$48="Moderado"),CONCATENATE("R16C",'Mapa final'!$R$48),"")</f>
        <v/>
      </c>
      <c r="S171" s="105" t="str">
        <f>IF(AND('Mapa final'!$AB$46="Baja",'Mapa final'!$AD$46="Mayor"),CONCATENATE("R16C",'Mapa final'!$R$46),"")</f>
        <v/>
      </c>
      <c r="T171" s="42" t="str">
        <f>IF(AND('Mapa final'!$AB$47="Baja",'Mapa final'!$AD$47="Mayor"),CONCATENATE("R16C",'Mapa final'!$R$47),"")</f>
        <v/>
      </c>
      <c r="U171" s="106" t="str">
        <f>IF(AND('Mapa final'!$AB$48="Baja",'Mapa final'!$AD$48="Mayor"),CONCATENATE("R16C",'Mapa final'!$R$48),"")</f>
        <v/>
      </c>
      <c r="V171" s="43" t="str">
        <f>IF(AND('Mapa final'!$AB$46="Baja",'Mapa final'!$AD$46="Catastrófico"),CONCATENATE("R16C",'Mapa final'!$R$46),"")</f>
        <v/>
      </c>
      <c r="W171" s="44" t="str">
        <f>IF(AND('Mapa final'!$AB$47="Baja",'Mapa final'!$AD$47="Catastrófico"),CONCATENATE("R16C",'Mapa final'!$R$47),"")</f>
        <v/>
      </c>
      <c r="X171" s="100" t="str">
        <f>IF(AND('Mapa final'!$AB$48="Baja",'Mapa final'!$AD$48="Catastrófico"),CONCATENATE("R16C",'Mapa final'!$R$48),"")</f>
        <v/>
      </c>
      <c r="Y171" s="56"/>
      <c r="Z171" s="312"/>
      <c r="AA171" s="313"/>
      <c r="AB171" s="313"/>
      <c r="AC171" s="313"/>
      <c r="AD171" s="313"/>
      <c r="AE171" s="314"/>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row>
    <row r="172" spans="1:61" ht="15" customHeight="1" x14ac:dyDescent="0.35">
      <c r="A172" s="56"/>
      <c r="B172" s="307"/>
      <c r="C172" s="307"/>
      <c r="D172" s="308"/>
      <c r="E172" s="283"/>
      <c r="F172" s="279"/>
      <c r="G172" s="279"/>
      <c r="H172" s="279"/>
      <c r="I172" s="279"/>
      <c r="J172" s="115" t="str">
        <f>IF(AND('Mapa final'!$AB$49="Baja",'Mapa final'!$AD$49="Leve"),CONCATENATE("R17C",'Mapa final'!$R$49),"")</f>
        <v/>
      </c>
      <c r="K172" s="54" t="str">
        <f>IF(AND('Mapa final'!$AB$50="Baja",'Mapa final'!$AD$50="Leve"),CONCATENATE("R17C",'Mapa final'!$R$50),"")</f>
        <v/>
      </c>
      <c r="L172" s="116" t="str">
        <f>IF(AND('Mapa final'!$AB$51="Baja",'Mapa final'!$AD$51="Leve"),CONCATENATE("R17C",'Mapa final'!$R$51),"")</f>
        <v/>
      </c>
      <c r="M172" s="49" t="str">
        <f>IF(AND('Mapa final'!$AB$49="Baja",'Mapa final'!$AD$49="Menor"),CONCATENATE("R17C",'Mapa final'!$R$49),"")</f>
        <v/>
      </c>
      <c r="N172" s="50" t="str">
        <f>IF(AND('Mapa final'!$AB$50="Baja",'Mapa final'!$AD$50="Menor"),CONCATENATE("R17C",'Mapa final'!$R$50),"")</f>
        <v/>
      </c>
      <c r="O172" s="111" t="str">
        <f>IF(AND('Mapa final'!$AB$51="Baja",'Mapa final'!$AD$51="Menor"),CONCATENATE("R17C",'Mapa final'!$R$51),"")</f>
        <v/>
      </c>
      <c r="P172" s="49" t="str">
        <f>IF(AND('Mapa final'!$AB$49="Baja",'Mapa final'!$AD$49="Moderado"),CONCATENATE("R17C",'Mapa final'!$R$49),"")</f>
        <v/>
      </c>
      <c r="Q172" s="50" t="str">
        <f>IF(AND('Mapa final'!$AB$50="Baja",'Mapa final'!$AD$50="Moderado"),CONCATENATE("R17C",'Mapa final'!$R$50),"")</f>
        <v/>
      </c>
      <c r="R172" s="111" t="str">
        <f>IF(AND('Mapa final'!$AB$51="Baja",'Mapa final'!$AD$51="Moderado"),CONCATENATE("R17C",'Mapa final'!$R$51),"")</f>
        <v/>
      </c>
      <c r="S172" s="105" t="str">
        <f>IF(AND('Mapa final'!$AB$49="Baja",'Mapa final'!$AD$49="Mayor"),CONCATENATE("R17C",'Mapa final'!$R$49),"")</f>
        <v/>
      </c>
      <c r="T172" s="42" t="str">
        <f>IF(AND('Mapa final'!$AB$50="Baja",'Mapa final'!$AD$50="Mayor"),CONCATENATE("R17C",'Mapa final'!$R$50),"")</f>
        <v/>
      </c>
      <c r="U172" s="106" t="str">
        <f>IF(AND('Mapa final'!$AB$51="Baja",'Mapa final'!$AD$51="Mayor"),CONCATENATE("R17C",'Mapa final'!$R$51),"")</f>
        <v/>
      </c>
      <c r="V172" s="43" t="str">
        <f>IF(AND('Mapa final'!$AB$49="Baja",'Mapa final'!$AD$49="Catastrófico"),CONCATENATE("R17C",'Mapa final'!$R$49),"")</f>
        <v/>
      </c>
      <c r="W172" s="44" t="str">
        <f>IF(AND('Mapa final'!$AB$50="Baja",'Mapa final'!$AD$50="Catastrófico"),CONCATENATE("R17C",'Mapa final'!$R$50),"")</f>
        <v/>
      </c>
      <c r="X172" s="100" t="str">
        <f>IF(AND('Mapa final'!$AB$51="Baja",'Mapa final'!$AD$51="Catastrófico"),CONCATENATE("R17C",'Mapa final'!$R$51),"")</f>
        <v/>
      </c>
      <c r="Y172" s="56"/>
      <c r="Z172" s="312"/>
      <c r="AA172" s="313"/>
      <c r="AB172" s="313"/>
      <c r="AC172" s="313"/>
      <c r="AD172" s="313"/>
      <c r="AE172" s="314"/>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row>
    <row r="173" spans="1:61" ht="15" customHeight="1" x14ac:dyDescent="0.35">
      <c r="A173" s="56"/>
      <c r="B173" s="307"/>
      <c r="C173" s="307"/>
      <c r="D173" s="308"/>
      <c r="E173" s="283"/>
      <c r="F173" s="279"/>
      <c r="G173" s="279"/>
      <c r="H173" s="279"/>
      <c r="I173" s="279"/>
      <c r="J173" s="115" t="str">
        <f>IF(AND('Mapa final'!$AB$52="Baja",'Mapa final'!$AD$52="Leve"),CONCATENATE("R18C",'Mapa final'!$R$52),"")</f>
        <v/>
      </c>
      <c r="K173" s="54" t="str">
        <f>IF(AND('Mapa final'!$AB$53="Baja",'Mapa final'!$AD$53="Leve"),CONCATENATE("R18C",'Mapa final'!$R$53),"")</f>
        <v/>
      </c>
      <c r="L173" s="116" t="str">
        <f>IF(AND('Mapa final'!$AB$54="Baja",'Mapa final'!$AD$54="Leve"),CONCATENATE("R18C",'Mapa final'!$R$54),"")</f>
        <v/>
      </c>
      <c r="M173" s="49" t="str">
        <f>IF(AND('Mapa final'!$AB$52="Baja",'Mapa final'!$AD$52="Menor"),CONCATENATE("R18C",'Mapa final'!$R$52),"")</f>
        <v/>
      </c>
      <c r="N173" s="50" t="str">
        <f>IF(AND('Mapa final'!$AB$53="Baja",'Mapa final'!$AD$53="Menor"),CONCATENATE("R18C",'Mapa final'!$R$53),"")</f>
        <v/>
      </c>
      <c r="O173" s="111" t="str">
        <f>IF(AND('Mapa final'!$AB$54="Baja",'Mapa final'!$AD$54="Menor"),CONCATENATE("R18C",'Mapa final'!$R$54),"")</f>
        <v/>
      </c>
      <c r="P173" s="49" t="str">
        <f>IF(AND('Mapa final'!$AB$52="Baja",'Mapa final'!$AD$52="Moderado"),CONCATENATE("R18C",'Mapa final'!$R$52),"")</f>
        <v/>
      </c>
      <c r="Q173" s="50" t="str">
        <f>IF(AND('Mapa final'!$AB$53="Baja",'Mapa final'!$AD$53="Moderado"),CONCATENATE("R18C",'Mapa final'!$R$53),"")</f>
        <v>R18C2</v>
      </c>
      <c r="R173" s="111" t="str">
        <f>IF(AND('Mapa final'!$AB$54="Baja",'Mapa final'!$AD$54="Moderado"),CONCATENATE("R18C",'Mapa final'!$R$54),"")</f>
        <v/>
      </c>
      <c r="S173" s="105" t="str">
        <f>IF(AND('Mapa final'!$AB$52="Baja",'Mapa final'!$AD$52="Mayor"),CONCATENATE("R18C",'Mapa final'!$R$52),"")</f>
        <v/>
      </c>
      <c r="T173" s="42" t="str">
        <f>IF(AND('Mapa final'!$AB$53="Baja",'Mapa final'!$AD$53="Mayor"),CONCATENATE("R18C",'Mapa final'!$R$53),"")</f>
        <v/>
      </c>
      <c r="U173" s="106" t="str">
        <f>IF(AND('Mapa final'!$AB$54="Baja",'Mapa final'!$AD$54="Mayor"),CONCATENATE("R18C",'Mapa final'!$R$54),"")</f>
        <v/>
      </c>
      <c r="V173" s="43" t="str">
        <f>IF(AND('Mapa final'!$AB$52="Baja",'Mapa final'!$AD$52="Catastrófico"),CONCATENATE("R18C",'Mapa final'!$R$52),"")</f>
        <v/>
      </c>
      <c r="W173" s="44" t="str">
        <f>IF(AND('Mapa final'!$AB$53="Baja",'Mapa final'!$AD$53="Catastrófico"),CONCATENATE("R18C",'Mapa final'!$R$53),"")</f>
        <v/>
      </c>
      <c r="X173" s="100" t="str">
        <f>IF(AND('Mapa final'!$AB$54="Baja",'Mapa final'!$AD$54="Catastrófico"),CONCATENATE("R18C",'Mapa final'!$R$54),"")</f>
        <v/>
      </c>
      <c r="Y173" s="56"/>
      <c r="Z173" s="312"/>
      <c r="AA173" s="313"/>
      <c r="AB173" s="313"/>
      <c r="AC173" s="313"/>
      <c r="AD173" s="313"/>
      <c r="AE173" s="314"/>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row>
    <row r="174" spans="1:61" ht="15" customHeight="1" x14ac:dyDescent="0.35">
      <c r="A174" s="56"/>
      <c r="B174" s="307"/>
      <c r="C174" s="307"/>
      <c r="D174" s="308"/>
      <c r="E174" s="283"/>
      <c r="F174" s="279"/>
      <c r="G174" s="279"/>
      <c r="H174" s="279"/>
      <c r="I174" s="279"/>
      <c r="J174" s="115" t="str">
        <f>IF(AND('Mapa final'!$AB$55="Baja",'Mapa final'!$AD$55="Leve"),CONCATENATE("R19C",'Mapa final'!$R$55),"")</f>
        <v/>
      </c>
      <c r="K174" s="54" t="str">
        <f>IF(AND('Mapa final'!$AB$56="Baja",'Mapa final'!$AD$56="Leve"),CONCATENATE("R19C",'Mapa final'!$R$56),"")</f>
        <v/>
      </c>
      <c r="L174" s="116" t="str">
        <f>IF(AND('Mapa final'!$AB$57="Baja",'Mapa final'!$AD$57="Leve"),CONCATENATE("R19C",'Mapa final'!$R$57),"")</f>
        <v/>
      </c>
      <c r="M174" s="49" t="str">
        <f>IF(AND('Mapa final'!$AB$55="Baja",'Mapa final'!$AD$55="Menor"),CONCATENATE("R19C",'Mapa final'!$R$55),"")</f>
        <v/>
      </c>
      <c r="N174" s="50" t="str">
        <f>IF(AND('Mapa final'!$AB$56="Baja",'Mapa final'!$AD$56="Menor"),CONCATENATE("R19C",'Mapa final'!$R$56),"")</f>
        <v/>
      </c>
      <c r="O174" s="111" t="str">
        <f>IF(AND('Mapa final'!$AB$57="Baja",'Mapa final'!$AD$57="Menor"),CONCATENATE("R19C",'Mapa final'!$R$57),"")</f>
        <v/>
      </c>
      <c r="P174" s="49" t="str">
        <f>IF(AND('Mapa final'!$AB$55="Baja",'Mapa final'!$AD$55="Moderado"),CONCATENATE("R19C",'Mapa final'!$R$55),"")</f>
        <v/>
      </c>
      <c r="Q174" s="50" t="str">
        <f>IF(AND('Mapa final'!$AB$56="Baja",'Mapa final'!$AD$56="Moderado"),CONCATENATE("R19C",'Mapa final'!$R$56),"")</f>
        <v/>
      </c>
      <c r="R174" s="111" t="str">
        <f>IF(AND('Mapa final'!$AB$57="Baja",'Mapa final'!$AD$57="Moderado"),CONCATENATE("R19C",'Mapa final'!$R$57),"")</f>
        <v/>
      </c>
      <c r="S174" s="105" t="str">
        <f>IF(AND('Mapa final'!$AB$55="Baja",'Mapa final'!$AD$55="Mayor"),CONCATENATE("R19C",'Mapa final'!$R$55),"")</f>
        <v/>
      </c>
      <c r="T174" s="42" t="str">
        <f>IF(AND('Mapa final'!$AB$56="Baja",'Mapa final'!$AD$56="Mayor"),CONCATENATE("R19C",'Mapa final'!$R$56),"")</f>
        <v/>
      </c>
      <c r="U174" s="106" t="str">
        <f>IF(AND('Mapa final'!$AB$57="Baja",'Mapa final'!$AD$57="Mayor"),CONCATENATE("R19C",'Mapa final'!$R$57),"")</f>
        <v/>
      </c>
      <c r="V174" s="43" t="str">
        <f>IF(AND('Mapa final'!$AB$55="Baja",'Mapa final'!$AD$55="Catastrófico"),CONCATENATE("R19C",'Mapa final'!$R$55),"")</f>
        <v/>
      </c>
      <c r="W174" s="44" t="str">
        <f>IF(AND('Mapa final'!$AB$56="Baja",'Mapa final'!$AD$56="Catastrófico"),CONCATENATE("R19C",'Mapa final'!$R$56),"")</f>
        <v/>
      </c>
      <c r="X174" s="100" t="str">
        <f>IF(AND('Mapa final'!$AB$57="Baja",'Mapa final'!$AD$57="Catastrófico"),CONCATENATE("R19C",'Mapa final'!$R$57),"")</f>
        <v/>
      </c>
      <c r="Y174" s="56"/>
      <c r="Z174" s="312"/>
      <c r="AA174" s="313"/>
      <c r="AB174" s="313"/>
      <c r="AC174" s="313"/>
      <c r="AD174" s="313"/>
      <c r="AE174" s="314"/>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row>
    <row r="175" spans="1:61" ht="15" customHeight="1" x14ac:dyDescent="0.35">
      <c r="A175" s="56"/>
      <c r="B175" s="307"/>
      <c r="C175" s="307"/>
      <c r="D175" s="308"/>
      <c r="E175" s="283"/>
      <c r="F175" s="279"/>
      <c r="G175" s="279"/>
      <c r="H175" s="279"/>
      <c r="I175" s="279"/>
      <c r="J175" s="115" t="str">
        <f>IF(AND('Mapa final'!$AB$58="Baja",'Mapa final'!$AD$58="Leve"),CONCATENATE("R20C",'Mapa final'!$R$58),"")</f>
        <v/>
      </c>
      <c r="K175" s="54" t="str">
        <f>IF(AND('Mapa final'!$AB$59="Baja",'Mapa final'!$AD$59="Leve"),CONCATENATE("R20C",'Mapa final'!$R$59),"")</f>
        <v/>
      </c>
      <c r="L175" s="116" t="str">
        <f>IF(AND('Mapa final'!$AB$60="Baja",'Mapa final'!$AD$60="Leve"),CONCATENATE("R20C",'Mapa final'!$R$60),"")</f>
        <v/>
      </c>
      <c r="M175" s="49" t="str">
        <f>IF(AND('Mapa final'!$AB$58="Baja",'Mapa final'!$AD$58="Menor"),CONCATENATE("R20C",'Mapa final'!$R$58),"")</f>
        <v/>
      </c>
      <c r="N175" s="50" t="str">
        <f>IF(AND('Mapa final'!$AB$59="Baja",'Mapa final'!$AD$59="Menor"),CONCATENATE("R20C",'Mapa final'!$R$59),"")</f>
        <v/>
      </c>
      <c r="O175" s="111" t="str">
        <f>IF(AND('Mapa final'!$AB$60="Baja",'Mapa final'!$AD$60="Menor"),CONCATENATE("R20C",'Mapa final'!$R$60),"")</f>
        <v/>
      </c>
      <c r="P175" s="49" t="str">
        <f>IF(AND('Mapa final'!$AB$58="Baja",'Mapa final'!$AD$58="Moderado"),CONCATENATE("R20C",'Mapa final'!$R$58),"")</f>
        <v/>
      </c>
      <c r="Q175" s="50" t="str">
        <f>IF(AND('Mapa final'!$AB$59="Baja",'Mapa final'!$AD$59="Moderado"),CONCATENATE("R20C",'Mapa final'!$R$59),"")</f>
        <v/>
      </c>
      <c r="R175" s="111" t="str">
        <f>IF(AND('Mapa final'!$AB$60="Baja",'Mapa final'!$AD$60="Moderado"),CONCATENATE("R20C",'Mapa final'!$R$60),"")</f>
        <v/>
      </c>
      <c r="S175" s="105" t="str">
        <f>IF(AND('Mapa final'!$AB$58="Baja",'Mapa final'!$AD$58="Mayor"),CONCATENATE("R20C",'Mapa final'!$R$58),"")</f>
        <v>R20C1</v>
      </c>
      <c r="T175" s="42" t="str">
        <f>IF(AND('Mapa final'!$AB$59="Baja",'Mapa final'!$AD$59="Mayor"),CONCATENATE("R20C",'Mapa final'!$R$59),"")</f>
        <v/>
      </c>
      <c r="U175" s="106" t="str">
        <f>IF(AND('Mapa final'!$AB$60="Baja",'Mapa final'!$AD$60="Mayor"),CONCATENATE("R20C",'Mapa final'!$R$60),"")</f>
        <v/>
      </c>
      <c r="V175" s="43" t="str">
        <f>IF(AND('Mapa final'!$AB$58="Baja",'Mapa final'!$AD$58="Catastrófico"),CONCATENATE("R20C",'Mapa final'!$R$58),"")</f>
        <v/>
      </c>
      <c r="W175" s="44" t="str">
        <f>IF(AND('Mapa final'!$AB$59="Baja",'Mapa final'!$AD$59="Catastrófico"),CONCATENATE("R20C",'Mapa final'!$R$59),"")</f>
        <v/>
      </c>
      <c r="X175" s="100" t="str">
        <f>IF(AND('Mapa final'!$AB$60="Baja",'Mapa final'!$AD$60="Catastrófico"),CONCATENATE("R20C",'Mapa final'!$R$60),"")</f>
        <v/>
      </c>
      <c r="Y175" s="56"/>
      <c r="Z175" s="312"/>
      <c r="AA175" s="313"/>
      <c r="AB175" s="313"/>
      <c r="AC175" s="313"/>
      <c r="AD175" s="313"/>
      <c r="AE175" s="314"/>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row>
    <row r="176" spans="1:61" ht="15" customHeight="1" x14ac:dyDescent="0.35">
      <c r="A176" s="56"/>
      <c r="B176" s="307"/>
      <c r="C176" s="307"/>
      <c r="D176" s="308"/>
      <c r="E176" s="283"/>
      <c r="F176" s="279"/>
      <c r="G176" s="279"/>
      <c r="H176" s="279"/>
      <c r="I176" s="279"/>
      <c r="J176" s="115" t="str">
        <f>IF(AND('Mapa final'!$AB$61="Baja",'Mapa final'!$AD$61="Leve"),CONCATENATE("R21C",'Mapa final'!$R$61),"")</f>
        <v>R21C1</v>
      </c>
      <c r="K176" s="54" t="str">
        <f>IF(AND('Mapa final'!$AB$62="Baja",'Mapa final'!$AD$62="Leve"),CONCATENATE("R21C",'Mapa final'!$R$62),"")</f>
        <v/>
      </c>
      <c r="L176" s="116" t="str">
        <f>IF(AND('Mapa final'!$AB$63="Baja",'Mapa final'!$AD$63="Leve"),CONCATENATE("R21C",'Mapa final'!$R$63),"")</f>
        <v/>
      </c>
      <c r="M176" s="49" t="str">
        <f>IF(AND('Mapa final'!$AB$61="Baja",'Mapa final'!$AD$61="Menor"),CONCATENATE("R21C",'Mapa final'!$R$61),"")</f>
        <v/>
      </c>
      <c r="N176" s="50" t="str">
        <f>IF(AND('Mapa final'!$AB$62="Baja",'Mapa final'!$AD$62="Menor"),CONCATENATE("R21C",'Mapa final'!$R$62),"")</f>
        <v/>
      </c>
      <c r="O176" s="111" t="str">
        <f>IF(AND('Mapa final'!$AB$63="Baja",'Mapa final'!$AD$63="Menor"),CONCATENATE("R21C",'Mapa final'!$R$63),"")</f>
        <v/>
      </c>
      <c r="P176" s="49" t="str">
        <f>IF(AND('Mapa final'!$AB$61="Baja",'Mapa final'!$AD$61="Moderado"),CONCATENATE("R21C",'Mapa final'!$R$61),"")</f>
        <v/>
      </c>
      <c r="Q176" s="50" t="str">
        <f>IF(AND('Mapa final'!$AB$62="Baja",'Mapa final'!$AD$62="Moderado"),CONCATENATE("R21C",'Mapa final'!$R$62),"")</f>
        <v/>
      </c>
      <c r="R176" s="111" t="str">
        <f>IF(AND('Mapa final'!$AB$63="Baja",'Mapa final'!$AD$63="Moderado"),CONCATENATE("R21C",'Mapa final'!$R$63),"")</f>
        <v/>
      </c>
      <c r="S176" s="105" t="str">
        <f>IF(AND('Mapa final'!$AB$61="Baja",'Mapa final'!$AD$61="Mayor"),CONCATENATE("R21C",'Mapa final'!$R$61),"")</f>
        <v/>
      </c>
      <c r="T176" s="42" t="str">
        <f>IF(AND('Mapa final'!$AB$62="Baja",'Mapa final'!$AD$62="Mayor"),CONCATENATE("R21C",'Mapa final'!$R$62),"")</f>
        <v/>
      </c>
      <c r="U176" s="106" t="str">
        <f>IF(AND('Mapa final'!$AB$63="Baja",'Mapa final'!$AD$63="Mayor"),CONCATENATE("R21C",'Mapa final'!$R$63),"")</f>
        <v/>
      </c>
      <c r="V176" s="43" t="str">
        <f>IF(AND('Mapa final'!$AB$61="Baja",'Mapa final'!$AD$61="Catastrófico"),CONCATENATE("R21C",'Mapa final'!$R$61),"")</f>
        <v/>
      </c>
      <c r="W176" s="44" t="str">
        <f>IF(AND('Mapa final'!$AB$62="Baja",'Mapa final'!$AD$62="Catastrófico"),CONCATENATE("R21C",'Mapa final'!$R$62),"")</f>
        <v/>
      </c>
      <c r="X176" s="100" t="str">
        <f>IF(AND('Mapa final'!$AB$63="Baja",'Mapa final'!$AD$63="Catastrófico"),CONCATENATE("R21C",'Mapa final'!$R$63),"")</f>
        <v/>
      </c>
      <c r="Y176" s="56"/>
      <c r="Z176" s="312"/>
      <c r="AA176" s="313"/>
      <c r="AB176" s="313"/>
      <c r="AC176" s="313"/>
      <c r="AD176" s="313"/>
      <c r="AE176" s="314"/>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row>
    <row r="177" spans="1:61" ht="15" customHeight="1" x14ac:dyDescent="0.35">
      <c r="A177" s="56"/>
      <c r="B177" s="307"/>
      <c r="C177" s="307"/>
      <c r="D177" s="308"/>
      <c r="E177" s="283"/>
      <c r="F177" s="279"/>
      <c r="G177" s="279"/>
      <c r="H177" s="279"/>
      <c r="I177" s="279"/>
      <c r="J177" s="115" t="str">
        <f>IF(AND('Mapa final'!$AB$64="Baja",'Mapa final'!$AD$64="Leve"),CONCATENATE("R22C",'Mapa final'!$R$64),"")</f>
        <v/>
      </c>
      <c r="K177" s="54" t="str">
        <f>IF(AND('Mapa final'!$AB$65="Baja",'Mapa final'!$AD$65="Leve"),CONCATENATE("R22C",'Mapa final'!$R$65),"")</f>
        <v/>
      </c>
      <c r="L177" s="116" t="str">
        <f>IF(AND('Mapa final'!$AB$66="Baja",'Mapa final'!$AD$66="Leve"),CONCATENATE("R22C",'Mapa final'!$R$66),"")</f>
        <v/>
      </c>
      <c r="M177" s="49" t="str">
        <f>IF(AND('Mapa final'!$AB$64="Baja",'Mapa final'!$AD$64="Menor"),CONCATENATE("R22C",'Mapa final'!$R$64),"")</f>
        <v>R22C1</v>
      </c>
      <c r="N177" s="50" t="str">
        <f>IF(AND('Mapa final'!$AB$65="Baja",'Mapa final'!$AD$65="Menor"),CONCATENATE("R22C",'Mapa final'!$R$65),"")</f>
        <v/>
      </c>
      <c r="O177" s="111" t="str">
        <f>IF(AND('Mapa final'!$AB$66="Baja",'Mapa final'!$AD$66="Menor"),CONCATENATE("R22C",'Mapa final'!$R$66),"")</f>
        <v/>
      </c>
      <c r="P177" s="49" t="str">
        <f>IF(AND('Mapa final'!$AB$64="Baja",'Mapa final'!$AD$64="Moderado"),CONCATENATE("R22C",'Mapa final'!$R$64),"")</f>
        <v/>
      </c>
      <c r="Q177" s="50" t="str">
        <f>IF(AND('Mapa final'!$AB$65="Baja",'Mapa final'!$AD$65="Moderado"),CONCATENATE("R22C",'Mapa final'!$R$65),"")</f>
        <v/>
      </c>
      <c r="R177" s="111" t="str">
        <f>IF(AND('Mapa final'!$AB$66="Baja",'Mapa final'!$AD$66="Moderado"),CONCATENATE("R22C",'Mapa final'!$R$66),"")</f>
        <v/>
      </c>
      <c r="S177" s="105" t="str">
        <f>IF(AND('Mapa final'!$AB$64="Baja",'Mapa final'!$AD$64="Mayor"),CONCATENATE("R22C",'Mapa final'!$R$64),"")</f>
        <v/>
      </c>
      <c r="T177" s="42" t="str">
        <f>IF(AND('Mapa final'!$AB$65="Baja",'Mapa final'!$AD$65="Mayor"),CONCATENATE("R22C",'Mapa final'!$R$65),"")</f>
        <v/>
      </c>
      <c r="U177" s="106" t="str">
        <f>IF(AND('Mapa final'!$AB$66="Baja",'Mapa final'!$AD$66="Mayor"),CONCATENATE("R22C",'Mapa final'!$R$66),"")</f>
        <v/>
      </c>
      <c r="V177" s="43" t="str">
        <f>IF(AND('Mapa final'!$AB$64="Baja",'Mapa final'!$AD$64="Catastrófico"),CONCATENATE("R22C",'Mapa final'!$R$64),"")</f>
        <v/>
      </c>
      <c r="W177" s="44" t="str">
        <f>IF(AND('Mapa final'!$AB$65="Baja",'Mapa final'!$AD$65="Catastrófico"),CONCATENATE("R22C",'Mapa final'!$R$65),"")</f>
        <v/>
      </c>
      <c r="X177" s="100" t="str">
        <f>IF(AND('Mapa final'!$AB$66="Baja",'Mapa final'!$AD$66="Catastrófico"),CONCATENATE("R22C",'Mapa final'!$R$66),"")</f>
        <v/>
      </c>
      <c r="Y177" s="56"/>
      <c r="Z177" s="312"/>
      <c r="AA177" s="313"/>
      <c r="AB177" s="313"/>
      <c r="AC177" s="313"/>
      <c r="AD177" s="313"/>
      <c r="AE177" s="314"/>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row>
    <row r="178" spans="1:61" ht="15" customHeight="1" x14ac:dyDescent="0.35">
      <c r="A178" s="56"/>
      <c r="B178" s="307"/>
      <c r="C178" s="307"/>
      <c r="D178" s="308"/>
      <c r="E178" s="283"/>
      <c r="F178" s="279"/>
      <c r="G178" s="279"/>
      <c r="H178" s="279"/>
      <c r="I178" s="279"/>
      <c r="J178" s="115" t="str">
        <f>IF(AND('Mapa final'!$AB$70="Baja",'Mapa final'!$AD$70="Leve"),CONCATENATE("R23C",'Mapa final'!$R$70),"")</f>
        <v/>
      </c>
      <c r="K178" s="54" t="str">
        <f>IF(AND('Mapa final'!$AB$71="Baja",'Mapa final'!$AD$71="Leve"),CONCATENATE("R23C",'Mapa final'!$R$71),"")</f>
        <v/>
      </c>
      <c r="L178" s="116" t="str">
        <f>IF(AND('Mapa final'!$AB$72="Baja",'Mapa final'!$AD$72="Leve"),CONCATENATE("R23C",'Mapa final'!$R$72),"")</f>
        <v/>
      </c>
      <c r="M178" s="49" t="str">
        <f>IF(AND('Mapa final'!$AB$70="Baja",'Mapa final'!$AD$70="Menor"),CONCATENATE("R23C",'Mapa final'!$R$70),"")</f>
        <v/>
      </c>
      <c r="N178" s="50" t="str">
        <f>IF(AND('Mapa final'!$AB$71="Baja",'Mapa final'!$AD$71="Menor"),CONCATENATE("R23C",'Mapa final'!$R$71),"")</f>
        <v/>
      </c>
      <c r="O178" s="111" t="str">
        <f>IF(AND('Mapa final'!$AB$72="Baja",'Mapa final'!$AD$72="Menor"),CONCATENATE("R23C",'Mapa final'!$R$72),"")</f>
        <v/>
      </c>
      <c r="P178" s="49" t="str">
        <f>IF(AND('Mapa final'!$AB$70="Baja",'Mapa final'!$AD$70="Moderado"),CONCATENATE("R23C",'Mapa final'!$R$70),"")</f>
        <v/>
      </c>
      <c r="Q178" s="50" t="str">
        <f>IF(AND('Mapa final'!$AB$71="Baja",'Mapa final'!$AD$71="Moderado"),CONCATENATE("R23C",'Mapa final'!$R$71),"")</f>
        <v/>
      </c>
      <c r="R178" s="111" t="str">
        <f>IF(AND('Mapa final'!$AB$72="Baja",'Mapa final'!$AD$72="Moderado"),CONCATENATE("R23C",'Mapa final'!$R$72),"")</f>
        <v/>
      </c>
      <c r="S178" s="105" t="str">
        <f>IF(AND('Mapa final'!$AB$70="Baja",'Mapa final'!$AD$70="Mayor"),CONCATENATE("R23C",'Mapa final'!$R$70),"")</f>
        <v>R23C1</v>
      </c>
      <c r="T178" s="42" t="str">
        <f>IF(AND('Mapa final'!$AB$71="Baja",'Mapa final'!$AD$71="Mayor"),CONCATENATE("R23C",'Mapa final'!$R$71),"")</f>
        <v/>
      </c>
      <c r="U178" s="106" t="str">
        <f>IF(AND('Mapa final'!$AB$72="Baja",'Mapa final'!$AD$72="Mayor"),CONCATENATE("R23C",'Mapa final'!$R$72),"")</f>
        <v/>
      </c>
      <c r="V178" s="43" t="str">
        <f>IF(AND('Mapa final'!$AB$70="Baja",'Mapa final'!$AD$70="Catastrófico"),CONCATENATE("R23C",'Mapa final'!$R$70),"")</f>
        <v/>
      </c>
      <c r="W178" s="44" t="str">
        <f>IF(AND('Mapa final'!$AB$71="Baja",'Mapa final'!$AD$71="Catastrófico"),CONCATENATE("R23C",'Mapa final'!$R$71),"")</f>
        <v/>
      </c>
      <c r="X178" s="100" t="str">
        <f>IF(AND('Mapa final'!$AB$72="Baja",'Mapa final'!$AD$72="Catastrófico"),CONCATENATE("R23C",'Mapa final'!$R$72),"")</f>
        <v/>
      </c>
      <c r="Y178" s="56"/>
      <c r="Z178" s="312"/>
      <c r="AA178" s="313"/>
      <c r="AB178" s="313"/>
      <c r="AC178" s="313"/>
      <c r="AD178" s="313"/>
      <c r="AE178" s="314"/>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row>
    <row r="179" spans="1:61" ht="15" customHeight="1" x14ac:dyDescent="0.35">
      <c r="A179" s="56"/>
      <c r="B179" s="307"/>
      <c r="C179" s="307"/>
      <c r="D179" s="308"/>
      <c r="E179" s="283"/>
      <c r="F179" s="279"/>
      <c r="G179" s="279"/>
      <c r="H179" s="279"/>
      <c r="I179" s="279"/>
      <c r="J179" s="115" t="str">
        <f>IF(AND('Mapa final'!$AB$73="Baja",'Mapa final'!$AD$73="Leve"),CONCATENATE("R24C",'Mapa final'!$R$73),"")</f>
        <v/>
      </c>
      <c r="K179" s="54" t="str">
        <f>IF(AND('Mapa final'!$AB$74="Baja",'Mapa final'!$AD$74="Leve"),CONCATENATE("R24C",'Mapa final'!$R$74),"")</f>
        <v/>
      </c>
      <c r="L179" s="116" t="str">
        <f>IF(AND('Mapa final'!$AB$75="Baja",'Mapa final'!$AD$75="Leve"),CONCATENATE("R24C",'Mapa final'!$R$75),"")</f>
        <v/>
      </c>
      <c r="M179" s="49" t="str">
        <f>IF(AND('Mapa final'!$AB$73="Baja",'Mapa final'!$AD$73="Menor"),CONCATENATE("R24C",'Mapa final'!$R$73),"")</f>
        <v/>
      </c>
      <c r="N179" s="50" t="str">
        <f>IF(AND('Mapa final'!$AB$74="Baja",'Mapa final'!$AD$74="Menor"),CONCATENATE("R24C",'Mapa final'!$R$74),"")</f>
        <v/>
      </c>
      <c r="O179" s="111" t="str">
        <f>IF(AND('Mapa final'!$AB$75="Baja",'Mapa final'!$AD$75="Menor"),CONCATENATE("R24C",'Mapa final'!$R$75),"")</f>
        <v/>
      </c>
      <c r="P179" s="49" t="str">
        <f>IF(AND('Mapa final'!$AB$73="Baja",'Mapa final'!$AD$73="Moderado"),CONCATENATE("R24C",'Mapa final'!$R$73),"")</f>
        <v>R24C1</v>
      </c>
      <c r="Q179" s="50" t="str">
        <f>IF(AND('Mapa final'!$AB$74="Baja",'Mapa final'!$AD$74="Moderado"),CONCATENATE("R24C",'Mapa final'!$R$74),"")</f>
        <v/>
      </c>
      <c r="R179" s="111" t="str">
        <f>IF(AND('Mapa final'!$AB$75="Baja",'Mapa final'!$AD$75="Moderado"),CONCATENATE("R24C",'Mapa final'!$R$75),"")</f>
        <v/>
      </c>
      <c r="S179" s="105" t="str">
        <f>IF(AND('Mapa final'!$AB$73="Baja",'Mapa final'!$AD$73="Mayor"),CONCATENATE("R24C",'Mapa final'!$R$73),"")</f>
        <v/>
      </c>
      <c r="T179" s="42" t="str">
        <f>IF(AND('Mapa final'!$AB$74="Baja",'Mapa final'!$AD$74="Mayor"),CONCATENATE("R24C",'Mapa final'!$R$74),"")</f>
        <v/>
      </c>
      <c r="U179" s="106" t="str">
        <f>IF(AND('Mapa final'!$AB$75="Baja",'Mapa final'!$AD$75="Mayor"),CONCATENATE("R24C",'Mapa final'!$R$75),"")</f>
        <v/>
      </c>
      <c r="V179" s="43" t="str">
        <f>IF(AND('Mapa final'!$AB$73="Baja",'Mapa final'!$AD$73="Catastrófico"),CONCATENATE("R24C",'Mapa final'!$R$73),"")</f>
        <v/>
      </c>
      <c r="W179" s="44" t="str">
        <f>IF(AND('Mapa final'!$AB$74="Baja",'Mapa final'!$AD$74="Catastrófico"),CONCATENATE("R24C",'Mapa final'!$R$74),"")</f>
        <v/>
      </c>
      <c r="X179" s="100" t="str">
        <f>IF(AND('Mapa final'!$AB$75="Baja",'Mapa final'!$AD$75="Catastrófico"),CONCATENATE("R24C",'Mapa final'!$R$75),"")</f>
        <v/>
      </c>
      <c r="Y179" s="56"/>
      <c r="Z179" s="312"/>
      <c r="AA179" s="313"/>
      <c r="AB179" s="313"/>
      <c r="AC179" s="313"/>
      <c r="AD179" s="313"/>
      <c r="AE179" s="314"/>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row>
    <row r="180" spans="1:61" ht="15" customHeight="1" x14ac:dyDescent="0.35">
      <c r="A180" s="56"/>
      <c r="B180" s="307"/>
      <c r="C180" s="307"/>
      <c r="D180" s="308"/>
      <c r="E180" s="283"/>
      <c r="F180" s="279"/>
      <c r="G180" s="279"/>
      <c r="H180" s="279"/>
      <c r="I180" s="279"/>
      <c r="J180" s="115" t="str">
        <f>IF(AND('Mapa final'!$AB$76="Baja",'Mapa final'!$AD$76="Leve"),CONCATENATE("R25C",'Mapa final'!$R$76),"")</f>
        <v/>
      </c>
      <c r="K180" s="54" t="str">
        <f>IF(AND('Mapa final'!$AB$77="Baja",'Mapa final'!$AD$77="Leve"),CONCATENATE("R25C",'Mapa final'!$R$77),"")</f>
        <v/>
      </c>
      <c r="L180" s="116" t="str">
        <f>IF(AND('Mapa final'!$AB$78="Baja",'Mapa final'!$AD$78="Leve"),CONCATENATE("R25C",'Mapa final'!$R$78),"")</f>
        <v/>
      </c>
      <c r="M180" s="49" t="str">
        <f>IF(AND('Mapa final'!$AB$76="Baja",'Mapa final'!$AD$76="Menor"),CONCATENATE("R25C",'Mapa final'!$R$76),"")</f>
        <v/>
      </c>
      <c r="N180" s="50" t="str">
        <f>IF(AND('Mapa final'!$AB$77="Baja",'Mapa final'!$AD$77="Menor"),CONCATENATE("R25C",'Mapa final'!$R$77),"")</f>
        <v/>
      </c>
      <c r="O180" s="111" t="str">
        <f>IF(AND('Mapa final'!$AB$78="Baja",'Mapa final'!$AD$78="Menor"),CONCATENATE("R25C",'Mapa final'!$R$78),"")</f>
        <v/>
      </c>
      <c r="P180" s="49" t="str">
        <f>IF(AND('Mapa final'!$AB$76="Baja",'Mapa final'!$AD$76="Moderado"),CONCATENATE("R25C",'Mapa final'!$R$76),"")</f>
        <v>R25C1</v>
      </c>
      <c r="Q180" s="50" t="str">
        <f>IF(AND('Mapa final'!$AB$77="Baja",'Mapa final'!$AD$77="Moderado"),CONCATENATE("R25C",'Mapa final'!$R$77),"")</f>
        <v/>
      </c>
      <c r="R180" s="111" t="str">
        <f>IF(AND('Mapa final'!$AB$78="Baja",'Mapa final'!$AD$78="Moderado"),CONCATENATE("R25C",'Mapa final'!$R$78),"")</f>
        <v/>
      </c>
      <c r="S180" s="105" t="str">
        <f>IF(AND('Mapa final'!$AB$76="Baja",'Mapa final'!$AD$76="Mayor"),CONCATENATE("R25C",'Mapa final'!$R$76),"")</f>
        <v/>
      </c>
      <c r="T180" s="42" t="str">
        <f>IF(AND('Mapa final'!$AB$77="Baja",'Mapa final'!$AD$77="Mayor"),CONCATENATE("R25C",'Mapa final'!$R$77),"")</f>
        <v/>
      </c>
      <c r="U180" s="106" t="str">
        <f>IF(AND('Mapa final'!$AB$78="Baja",'Mapa final'!$AD$78="Mayor"),CONCATENATE("R25C",'Mapa final'!$R$78),"")</f>
        <v/>
      </c>
      <c r="V180" s="43" t="str">
        <f>IF(AND('Mapa final'!$AB$76="Baja",'Mapa final'!$AD$76="Catastrófico"),CONCATENATE("R25C",'Mapa final'!$R$76),"")</f>
        <v/>
      </c>
      <c r="W180" s="44" t="str">
        <f>IF(AND('Mapa final'!$AB$77="Baja",'Mapa final'!$AD$77="Catastrófico"),CONCATENATE("R25C",'Mapa final'!$R$77),"")</f>
        <v/>
      </c>
      <c r="X180" s="100" t="str">
        <f>IF(AND('Mapa final'!$AB$78="Baja",'Mapa final'!$AD$78="Catastrófico"),CONCATENATE("R25C",'Mapa final'!$R$78),"")</f>
        <v/>
      </c>
      <c r="Y180" s="56"/>
      <c r="Z180" s="312"/>
      <c r="AA180" s="313"/>
      <c r="AB180" s="313"/>
      <c r="AC180" s="313"/>
      <c r="AD180" s="313"/>
      <c r="AE180" s="314"/>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row>
    <row r="181" spans="1:61" ht="15" customHeight="1" x14ac:dyDescent="0.35">
      <c r="A181" s="56"/>
      <c r="B181" s="307"/>
      <c r="C181" s="307"/>
      <c r="D181" s="308"/>
      <c r="E181" s="283"/>
      <c r="F181" s="279"/>
      <c r="G181" s="279"/>
      <c r="H181" s="279"/>
      <c r="I181" s="279"/>
      <c r="J181" s="115" t="str">
        <f>IF(AND('Mapa final'!$AB$79="Baja",'Mapa final'!$AD$79="Leve"),CONCATENATE("R26C",'Mapa final'!$R$79),"")</f>
        <v/>
      </c>
      <c r="K181" s="54" t="str">
        <f>IF(AND('Mapa final'!$AB$80="Baja",'Mapa final'!$AD$80="Leve"),CONCATENATE("R26C",'Mapa final'!$R$80),"")</f>
        <v/>
      </c>
      <c r="L181" s="116" t="str">
        <f>IF(AND('Mapa final'!$AB$81="Baja",'Mapa final'!$AD$81="Leve"),CONCATENATE("R26C",'Mapa final'!$R$81),"")</f>
        <v/>
      </c>
      <c r="M181" s="49" t="str">
        <f>IF(AND('Mapa final'!$AB$79="Baja",'Mapa final'!$AD$79="Menor"),CONCATENATE("R26C",'Mapa final'!$R$79),"")</f>
        <v/>
      </c>
      <c r="N181" s="50" t="str">
        <f>IF(AND('Mapa final'!$AB$80="Baja",'Mapa final'!$AD$80="Menor"),CONCATENATE("R26C",'Mapa final'!$R$80),"")</f>
        <v/>
      </c>
      <c r="O181" s="111" t="str">
        <f>IF(AND('Mapa final'!$AB$81="Baja",'Mapa final'!$AD$81="Menor"),CONCATENATE("R26C",'Mapa final'!$R$81),"")</f>
        <v/>
      </c>
      <c r="P181" s="49" t="str">
        <f>IF(AND('Mapa final'!$AB$79="Baja",'Mapa final'!$AD$79="Moderado"),CONCATENATE("R26C",'Mapa final'!$R$79),"")</f>
        <v/>
      </c>
      <c r="Q181" s="50" t="str">
        <f>IF(AND('Mapa final'!$AB$80="Baja",'Mapa final'!$AD$80="Moderado"),CONCATENATE("R26C",'Mapa final'!$R$80),"")</f>
        <v/>
      </c>
      <c r="R181" s="111" t="str">
        <f>IF(AND('Mapa final'!$AB$81="Baja",'Mapa final'!$AD$81="Moderado"),CONCATENATE("R26C",'Mapa final'!$R$81),"")</f>
        <v/>
      </c>
      <c r="S181" s="105" t="str">
        <f>IF(AND('Mapa final'!$AB$79="Baja",'Mapa final'!$AD$79="Mayor"),CONCATENATE("R26C",'Mapa final'!$R$79),"")</f>
        <v/>
      </c>
      <c r="T181" s="42" t="str">
        <f>IF(AND('Mapa final'!$AB$80="Baja",'Mapa final'!$AD$80="Mayor"),CONCATENATE("R26C",'Mapa final'!$R$80),"")</f>
        <v/>
      </c>
      <c r="U181" s="106" t="str">
        <f>IF(AND('Mapa final'!$AB$81="Baja",'Mapa final'!$AD$81="Mayor"),CONCATENATE("R26C",'Mapa final'!$R$81),"")</f>
        <v/>
      </c>
      <c r="V181" s="43" t="str">
        <f>IF(AND('Mapa final'!$AB$79="Baja",'Mapa final'!$AD$79="Catastrófico"),CONCATENATE("R26C",'Mapa final'!$R$79),"")</f>
        <v/>
      </c>
      <c r="W181" s="44" t="str">
        <f>IF(AND('Mapa final'!$AB$80="Baja",'Mapa final'!$AD$80="Catastrófico"),CONCATENATE("R26C",'Mapa final'!$R$80),"")</f>
        <v/>
      </c>
      <c r="X181" s="100" t="str">
        <f>IF(AND('Mapa final'!$AB$81="Baja",'Mapa final'!$AD$81="Catastrófico"),CONCATENATE("R26C",'Mapa final'!$R$81),"")</f>
        <v/>
      </c>
      <c r="Y181" s="56"/>
      <c r="Z181" s="312"/>
      <c r="AA181" s="313"/>
      <c r="AB181" s="313"/>
      <c r="AC181" s="313"/>
      <c r="AD181" s="313"/>
      <c r="AE181" s="314"/>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row>
    <row r="182" spans="1:61" ht="15" customHeight="1" x14ac:dyDescent="0.35">
      <c r="A182" s="56"/>
      <c r="B182" s="307"/>
      <c r="C182" s="307"/>
      <c r="D182" s="308"/>
      <c r="E182" s="283"/>
      <c r="F182" s="279"/>
      <c r="G182" s="279"/>
      <c r="H182" s="279"/>
      <c r="I182" s="279"/>
      <c r="J182" s="115" t="str">
        <f>IF(AND('Mapa final'!$AB$82="Baja",'Mapa final'!$AD$82="Leve"),CONCATENATE("R27C",'Mapa final'!$R$82),"")</f>
        <v/>
      </c>
      <c r="K182" s="54" t="str">
        <f>IF(AND('Mapa final'!$AB$83="Baja",'Mapa final'!$AD$83="Leve"),CONCATENATE("R27C",'Mapa final'!$R$83),"")</f>
        <v/>
      </c>
      <c r="L182" s="116" t="str">
        <f>IF(AND('Mapa final'!$AB$84="Baja",'Mapa final'!$AD$84="Leve"),CONCATENATE("R27C",'Mapa final'!$R$84),"")</f>
        <v/>
      </c>
      <c r="M182" s="49" t="str">
        <f>IF(AND('Mapa final'!$AB$82="Baja",'Mapa final'!$AD$82="Menor"),CONCATENATE("R27C",'Mapa final'!$R$82),"")</f>
        <v/>
      </c>
      <c r="N182" s="50" t="str">
        <f>IF(AND('Mapa final'!$AB$83="Baja",'Mapa final'!$AD$83="Menor"),CONCATENATE("R27C",'Mapa final'!$R$83),"")</f>
        <v/>
      </c>
      <c r="O182" s="111" t="str">
        <f>IF(AND('Mapa final'!$AB$84="Baja",'Mapa final'!$AD$84="Menor"),CONCATENATE("R27C",'Mapa final'!$R$84),"")</f>
        <v/>
      </c>
      <c r="P182" s="49" t="str">
        <f>IF(AND('Mapa final'!$AB$82="Baja",'Mapa final'!$AD$82="Moderado"),CONCATENATE("R27C",'Mapa final'!$R$82),"")</f>
        <v>R27C1</v>
      </c>
      <c r="Q182" s="50" t="str">
        <f>IF(AND('Mapa final'!$AB$83="Baja",'Mapa final'!$AD$83="Moderado"),CONCATENATE("R27C",'Mapa final'!$R$83),"")</f>
        <v/>
      </c>
      <c r="R182" s="111" t="str">
        <f>IF(AND('Mapa final'!$AB$84="Baja",'Mapa final'!$AD$84="Moderado"),CONCATENATE("R27C",'Mapa final'!$R$84),"")</f>
        <v/>
      </c>
      <c r="S182" s="105" t="str">
        <f>IF(AND('Mapa final'!$AB$82="Baja",'Mapa final'!$AD$82="Mayor"),CONCATENATE("R27C",'Mapa final'!$R$82),"")</f>
        <v/>
      </c>
      <c r="T182" s="42" t="str">
        <f>IF(AND('Mapa final'!$AB$83="Baja",'Mapa final'!$AD$83="Mayor"),CONCATENATE("R27C",'Mapa final'!$R$83),"")</f>
        <v/>
      </c>
      <c r="U182" s="106" t="str">
        <f>IF(AND('Mapa final'!$AB$84="Baja",'Mapa final'!$AD$84="Mayor"),CONCATENATE("R27C",'Mapa final'!$R$84),"")</f>
        <v/>
      </c>
      <c r="V182" s="43" t="str">
        <f>IF(AND('Mapa final'!$AB$82="Baja",'Mapa final'!$AD$82="Catastrófico"),CONCATENATE("R27C",'Mapa final'!$R$82),"")</f>
        <v/>
      </c>
      <c r="W182" s="44" t="str">
        <f>IF(AND('Mapa final'!$AB$83="Baja",'Mapa final'!$AD$83="Catastrófico"),CONCATENATE("R27C",'Mapa final'!$R$83),"")</f>
        <v/>
      </c>
      <c r="X182" s="100" t="str">
        <f>IF(AND('Mapa final'!$AB$84="Baja",'Mapa final'!$AD$84="Catastrófico"),CONCATENATE("R27C",'Mapa final'!$R$84),"")</f>
        <v/>
      </c>
      <c r="Y182" s="56"/>
      <c r="Z182" s="312"/>
      <c r="AA182" s="313"/>
      <c r="AB182" s="313"/>
      <c r="AC182" s="313"/>
      <c r="AD182" s="313"/>
      <c r="AE182" s="314"/>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row>
    <row r="183" spans="1:61" ht="15" customHeight="1" x14ac:dyDescent="0.35">
      <c r="A183" s="56"/>
      <c r="B183" s="307"/>
      <c r="C183" s="307"/>
      <c r="D183" s="308"/>
      <c r="E183" s="283"/>
      <c r="F183" s="279"/>
      <c r="G183" s="279"/>
      <c r="H183" s="279"/>
      <c r="I183" s="279"/>
      <c r="J183" s="115" t="str">
        <f>IF(AND('Mapa final'!$AB$85="Baja",'Mapa final'!$AD$85="Leve"),CONCATENATE("R28C",'Mapa final'!$R$85),"")</f>
        <v/>
      </c>
      <c r="K183" s="54" t="str">
        <f>IF(AND('Mapa final'!$AB$86="Baja",'Mapa final'!$AD$86="Leve"),CONCATENATE("R28C",'Mapa final'!$R$86),"")</f>
        <v/>
      </c>
      <c r="L183" s="116" t="str">
        <f>IF(AND('Mapa final'!$AB$87="Baja",'Mapa final'!$AD$87="Leve"),CONCATENATE("R28C",'Mapa final'!$R$87),"")</f>
        <v/>
      </c>
      <c r="M183" s="49" t="str">
        <f>IF(AND('Mapa final'!$AB$85="Baja",'Mapa final'!$AD$85="Menor"),CONCATENATE("R28C",'Mapa final'!$R$85),"")</f>
        <v/>
      </c>
      <c r="N183" s="50" t="str">
        <f>IF(AND('Mapa final'!$AB$86="Baja",'Mapa final'!$AD$86="Menor"),CONCATENATE("R28C",'Mapa final'!$R$86),"")</f>
        <v/>
      </c>
      <c r="O183" s="111" t="str">
        <f>IF(AND('Mapa final'!$AB$87="Baja",'Mapa final'!$AD$87="Menor"),CONCATENATE("R28C",'Mapa final'!$R$87),"")</f>
        <v/>
      </c>
      <c r="P183" s="49" t="str">
        <f>IF(AND('Mapa final'!$AB$85="Baja",'Mapa final'!$AD$85="Moderado"),CONCATENATE("R28C",'Mapa final'!$R$85),"")</f>
        <v/>
      </c>
      <c r="Q183" s="50" t="str">
        <f>IF(AND('Mapa final'!$AB$86="Baja",'Mapa final'!$AD$86="Moderado"),CONCATENATE("R28C",'Mapa final'!$R$86),"")</f>
        <v/>
      </c>
      <c r="R183" s="111" t="str">
        <f>IF(AND('Mapa final'!$AB$87="Baja",'Mapa final'!$AD$87="Moderado"),CONCATENATE("R28C",'Mapa final'!$R$87),"")</f>
        <v/>
      </c>
      <c r="S183" s="105" t="str">
        <f>IF(AND('Mapa final'!$AB$85="Baja",'Mapa final'!$AD$85="Mayor"),CONCATENATE("R28C",'Mapa final'!$R$85),"")</f>
        <v>R28C1</v>
      </c>
      <c r="T183" s="42" t="str">
        <f>IF(AND('Mapa final'!$AB$86="Baja",'Mapa final'!$AD$86="Mayor"),CONCATENATE("R28C",'Mapa final'!$R$86),"")</f>
        <v/>
      </c>
      <c r="U183" s="106" t="str">
        <f>IF(AND('Mapa final'!$AB$87="Baja",'Mapa final'!$AD$87="Mayor"),CONCATENATE("R28C",'Mapa final'!$R$87),"")</f>
        <v/>
      </c>
      <c r="V183" s="43" t="str">
        <f>IF(AND('Mapa final'!$AB$85="Baja",'Mapa final'!$AD$85="Catastrófico"),CONCATENATE("R28C",'Mapa final'!$R$85),"")</f>
        <v/>
      </c>
      <c r="W183" s="44" t="str">
        <f>IF(AND('Mapa final'!$AB$86="Baja",'Mapa final'!$AD$86="Catastrófico"),CONCATENATE("R28C",'Mapa final'!$R$86),"")</f>
        <v/>
      </c>
      <c r="X183" s="100" t="str">
        <f>IF(AND('Mapa final'!$AB$87="Baja",'Mapa final'!$AD$87="Catastrófico"),CONCATENATE("R28C",'Mapa final'!$R$87),"")</f>
        <v/>
      </c>
      <c r="Y183" s="56"/>
      <c r="Z183" s="312"/>
      <c r="AA183" s="313"/>
      <c r="AB183" s="313"/>
      <c r="AC183" s="313"/>
      <c r="AD183" s="313"/>
      <c r="AE183" s="314"/>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row>
    <row r="184" spans="1:61" ht="15" customHeight="1" x14ac:dyDescent="0.35">
      <c r="A184" s="56"/>
      <c r="B184" s="307"/>
      <c r="C184" s="307"/>
      <c r="D184" s="308"/>
      <c r="E184" s="284"/>
      <c r="F184" s="297"/>
      <c r="G184" s="297"/>
      <c r="H184" s="297"/>
      <c r="I184" s="279"/>
      <c r="J184" s="115" t="str">
        <f>IF(AND('Mapa final'!$AB$88="Baja",'Mapa final'!$AD$88="Leve"),CONCATENATE("R29C",'Mapa final'!$R$88),"")</f>
        <v/>
      </c>
      <c r="K184" s="54" t="str">
        <f>IF(AND('Mapa final'!$AB$89="Baja",'Mapa final'!$AD$89="Leve"),CONCATENATE("R29C",'Mapa final'!$R$89),"")</f>
        <v/>
      </c>
      <c r="L184" s="116" t="str">
        <f>IF(AND('Mapa final'!$AB$90="Baja",'Mapa final'!$AD$90="Leve"),CONCATENATE("R29C",'Mapa final'!$R$90),"")</f>
        <v/>
      </c>
      <c r="M184" s="49" t="str">
        <f>IF(AND('Mapa final'!$AB$88="Baja",'Mapa final'!$AD$88="Menor"),CONCATENATE("R29C",'Mapa final'!$R$88),"")</f>
        <v/>
      </c>
      <c r="N184" s="50" t="str">
        <f>IF(AND('Mapa final'!$AB$89="Baja",'Mapa final'!$AD$89="Menor"),CONCATENATE("R29C",'Mapa final'!$R$89),"")</f>
        <v/>
      </c>
      <c r="O184" s="111" t="str">
        <f>IF(AND('Mapa final'!$AB$90="Baja",'Mapa final'!$AD$90="Menor"),CONCATENATE("R29C",'Mapa final'!$R$90),"")</f>
        <v/>
      </c>
      <c r="P184" s="49" t="str">
        <f>IF(AND('Mapa final'!$AB$88="Baja",'Mapa final'!$AD$88="Moderado"),CONCATENATE("R29C",'Mapa final'!$R$88),"")</f>
        <v/>
      </c>
      <c r="Q184" s="50" t="str">
        <f>IF(AND('Mapa final'!$AB$89="Baja",'Mapa final'!$AD$89="Moderado"),CONCATENATE("R29C",'Mapa final'!$R$89),"")</f>
        <v/>
      </c>
      <c r="R184" s="111" t="str">
        <f>IF(AND('Mapa final'!$AB$90="Baja",'Mapa final'!$AD$90="Moderado"),CONCATENATE("R29C",'Mapa final'!$R$90),"")</f>
        <v/>
      </c>
      <c r="S184" s="105" t="str">
        <f>IF(AND('Mapa final'!$AB$88="Baja",'Mapa final'!$AD$88="Mayor"),CONCATENATE("R29C",'Mapa final'!$R$88),"")</f>
        <v>R29C1</v>
      </c>
      <c r="T184" s="42" t="str">
        <f>IF(AND('Mapa final'!$AB$89="Baja",'Mapa final'!$AD$89="Mayor"),CONCATENATE("R29C",'Mapa final'!$R$89),"")</f>
        <v/>
      </c>
      <c r="U184" s="106" t="str">
        <f>IF(AND('Mapa final'!$AB$90="Baja",'Mapa final'!$AD$90="Mayor"),CONCATENATE("R29C",'Mapa final'!$R$90),"")</f>
        <v/>
      </c>
      <c r="V184" s="43" t="str">
        <f>IF(AND('Mapa final'!$AB$88="Baja",'Mapa final'!$AD$88="Catastrófico"),CONCATENATE("R29C",'Mapa final'!$R$88),"")</f>
        <v/>
      </c>
      <c r="W184" s="44" t="str">
        <f>IF(AND('Mapa final'!$AB$89="Baja",'Mapa final'!$AD$89="Catastrófico"),CONCATENATE("R29C",'Mapa final'!$R$89),"")</f>
        <v/>
      </c>
      <c r="X184" s="100" t="str">
        <f>IF(AND('Mapa final'!$AB$90="Baja",'Mapa final'!$AD$90="Catastrófico"),CONCATENATE("R29C",'Mapa final'!$R$90),"")</f>
        <v/>
      </c>
      <c r="Y184" s="56"/>
      <c r="Z184" s="312"/>
      <c r="AA184" s="313"/>
      <c r="AB184" s="313"/>
      <c r="AC184" s="313"/>
      <c r="AD184" s="313"/>
      <c r="AE184" s="314"/>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row>
    <row r="185" spans="1:61" ht="15" customHeight="1" x14ac:dyDescent="0.35">
      <c r="A185" s="56"/>
      <c r="B185" s="307"/>
      <c r="C185" s="307"/>
      <c r="D185" s="308"/>
      <c r="E185" s="284"/>
      <c r="F185" s="297"/>
      <c r="G185" s="297"/>
      <c r="H185" s="297"/>
      <c r="I185" s="279"/>
      <c r="J185" s="115" t="str">
        <f>IF(AND('Mapa final'!$AB$91="Baja",'Mapa final'!$AD$91="Leve"),CONCATENATE("R30C",'Mapa final'!$R$91),"")</f>
        <v/>
      </c>
      <c r="K185" s="54" t="str">
        <f>IF(AND('Mapa final'!$AB$92="Baja",'Mapa final'!$AD$92="Leve"),CONCATENATE("R30C",'Mapa final'!$R$92),"")</f>
        <v/>
      </c>
      <c r="L185" s="116" t="str">
        <f>IF(AND('Mapa final'!$AB$93="Baja",'Mapa final'!$AD$93="Leve"),CONCATENATE("R30C",'Mapa final'!$R$93),"")</f>
        <v/>
      </c>
      <c r="M185" s="49" t="str">
        <f>IF(AND('Mapa final'!$AB$91="Baja",'Mapa final'!$AD$91="Menor"),CONCATENATE("R30C",'Mapa final'!$R$91),"")</f>
        <v/>
      </c>
      <c r="N185" s="50" t="str">
        <f>IF(AND('Mapa final'!$AB$92="Baja",'Mapa final'!$AD$92="Menor"),CONCATENATE("R30C",'Mapa final'!$R$92),"")</f>
        <v/>
      </c>
      <c r="O185" s="111" t="str">
        <f>IF(AND('Mapa final'!$AB$93="Baja",'Mapa final'!$AD$93="Menor"),CONCATENATE("R30C",'Mapa final'!$R$93),"")</f>
        <v/>
      </c>
      <c r="P185" s="49" t="str">
        <f>IF(AND('Mapa final'!$AB$91="Baja",'Mapa final'!$AD$91="Moderado"),CONCATENATE("R30C",'Mapa final'!$R$91),"")</f>
        <v/>
      </c>
      <c r="Q185" s="50" t="str">
        <f>IF(AND('Mapa final'!$AB$92="Baja",'Mapa final'!$AD$92="Moderado"),CONCATENATE("R30C",'Mapa final'!$R$92),"")</f>
        <v/>
      </c>
      <c r="R185" s="111" t="str">
        <f>IF(AND('Mapa final'!$AB$93="Baja",'Mapa final'!$AD$93="Moderado"),CONCATENATE("R30C",'Mapa final'!$R$93),"")</f>
        <v/>
      </c>
      <c r="S185" s="105" t="str">
        <f>IF(AND('Mapa final'!$AB$91="Baja",'Mapa final'!$AD$91="Mayor"),CONCATENATE("R30C",'Mapa final'!$R$91),"")</f>
        <v/>
      </c>
      <c r="T185" s="42" t="str">
        <f>IF(AND('Mapa final'!$AB$92="Baja",'Mapa final'!$AD$92="Mayor"),CONCATENATE("R30C",'Mapa final'!$R$92),"")</f>
        <v>R30C2</v>
      </c>
      <c r="U185" s="106" t="str">
        <f>IF(AND('Mapa final'!$AB$93="Baja",'Mapa final'!$AD$93="Mayor"),CONCATENATE("R30C",'Mapa final'!$R$93),"")</f>
        <v/>
      </c>
      <c r="V185" s="43" t="str">
        <f>IF(AND('Mapa final'!$AB$91="Baja",'Mapa final'!$AD$91="Catastrófico"),CONCATENATE("R30C",'Mapa final'!$R$91),"")</f>
        <v/>
      </c>
      <c r="W185" s="44" t="str">
        <f>IF(AND('Mapa final'!$AB$92="Baja",'Mapa final'!$AD$92="Catastrófico"),CONCATENATE("R30C",'Mapa final'!$R$92),"")</f>
        <v/>
      </c>
      <c r="X185" s="100" t="str">
        <f>IF(AND('Mapa final'!$AB$93="Baja",'Mapa final'!$AD$93="Catastrófico"),CONCATENATE("R30C",'Mapa final'!$R$93),"")</f>
        <v/>
      </c>
      <c r="Y185" s="56"/>
      <c r="Z185" s="312"/>
      <c r="AA185" s="313"/>
      <c r="AB185" s="313"/>
      <c r="AC185" s="313"/>
      <c r="AD185" s="313"/>
      <c r="AE185" s="314"/>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row>
    <row r="186" spans="1:61" ht="15" customHeight="1" x14ac:dyDescent="0.35">
      <c r="A186" s="56"/>
      <c r="B186" s="307"/>
      <c r="C186" s="307"/>
      <c r="D186" s="308"/>
      <c r="E186" s="284"/>
      <c r="F186" s="297"/>
      <c r="G186" s="297"/>
      <c r="H186" s="297"/>
      <c r="I186" s="279"/>
      <c r="J186" s="115" t="str">
        <f>IF(AND('Mapa final'!$AB$94="Baja",'Mapa final'!$AD$94="Leve"),CONCATENATE("R31C",'Mapa final'!$R$94),"")</f>
        <v/>
      </c>
      <c r="K186" s="54" t="str">
        <f>IF(AND('Mapa final'!$AB$95="Baja",'Mapa final'!$AD$95="Leve"),CONCATENATE("R31C",'Mapa final'!$R$95),"")</f>
        <v/>
      </c>
      <c r="L186" s="116" t="str">
        <f>IF(AND('Mapa final'!$AB$96="Baja",'Mapa final'!$AD$96="Leve"),CONCATENATE("R31C",'Mapa final'!$R$96),"")</f>
        <v/>
      </c>
      <c r="M186" s="49" t="str">
        <f>IF(AND('Mapa final'!$AB$94="Baja",'Mapa final'!$AD$94="Menor"),CONCATENATE("R31C",'Mapa final'!$R$94),"")</f>
        <v/>
      </c>
      <c r="N186" s="50" t="str">
        <f>IF(AND('Mapa final'!$AB$95="Baja",'Mapa final'!$AD$95="Menor"),CONCATENATE("R31C",'Mapa final'!$R$95),"")</f>
        <v/>
      </c>
      <c r="O186" s="111" t="str">
        <f>IF(AND('Mapa final'!$AB$96="Baja",'Mapa final'!$AD$96="Menor"),CONCATENATE("R31C",'Mapa final'!$R$96),"")</f>
        <v/>
      </c>
      <c r="P186" s="49" t="str">
        <f>IF(AND('Mapa final'!$AB$94="Baja",'Mapa final'!$AD$94="Moderado"),CONCATENATE("R31C",'Mapa final'!$R$94),"")</f>
        <v>R31C1</v>
      </c>
      <c r="Q186" s="50" t="str">
        <f>IF(AND('Mapa final'!$AB$95="Baja",'Mapa final'!$AD$95="Moderado"),CONCATENATE("R31C",'Mapa final'!$R$95),"")</f>
        <v/>
      </c>
      <c r="R186" s="111" t="str">
        <f>IF(AND('Mapa final'!$AB$96="Baja",'Mapa final'!$AD$96="Moderado"),CONCATENATE("R31C",'Mapa final'!$R$96),"")</f>
        <v/>
      </c>
      <c r="S186" s="105" t="str">
        <f>IF(AND('Mapa final'!$AB$94="Baja",'Mapa final'!$AD$94="Mayor"),CONCATENATE("R31C",'Mapa final'!$R$94),"")</f>
        <v/>
      </c>
      <c r="T186" s="42" t="str">
        <f>IF(AND('Mapa final'!$AB$95="Baja",'Mapa final'!$AD$95="Mayor"),CONCATENATE("R31C",'Mapa final'!$R$95),"")</f>
        <v/>
      </c>
      <c r="U186" s="106" t="str">
        <f>IF(AND('Mapa final'!$AB$96="Baja",'Mapa final'!$AD$96="Mayor"),CONCATENATE("R31C",'Mapa final'!$R$96),"")</f>
        <v/>
      </c>
      <c r="V186" s="43" t="str">
        <f>IF(AND('Mapa final'!$AB$94="Baja",'Mapa final'!$AD$94="Catastrófico"),CONCATENATE("R31C",'Mapa final'!$R$94),"")</f>
        <v/>
      </c>
      <c r="W186" s="44" t="str">
        <f>IF(AND('Mapa final'!$AB$95="Baja",'Mapa final'!$AD$95="Catastrófico"),CONCATENATE("R31C",'Mapa final'!$R$95),"")</f>
        <v/>
      </c>
      <c r="X186" s="100" t="str">
        <f>IF(AND('Mapa final'!$AB$96="Baja",'Mapa final'!$AD$96="Catastrófico"),CONCATENATE("R31C",'Mapa final'!$R$96),"")</f>
        <v/>
      </c>
      <c r="Y186" s="56"/>
      <c r="Z186" s="312"/>
      <c r="AA186" s="313"/>
      <c r="AB186" s="313"/>
      <c r="AC186" s="313"/>
      <c r="AD186" s="313"/>
      <c r="AE186" s="314"/>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row>
    <row r="187" spans="1:61" ht="15" customHeight="1" x14ac:dyDescent="0.35">
      <c r="A187" s="56"/>
      <c r="B187" s="307"/>
      <c r="C187" s="307"/>
      <c r="D187" s="308"/>
      <c r="E187" s="284"/>
      <c r="F187" s="297"/>
      <c r="G187" s="297"/>
      <c r="H187" s="297"/>
      <c r="I187" s="279"/>
      <c r="J187" s="115" t="e">
        <f>IF(AND('Mapa final'!#REF!="Baja",'Mapa final'!#REF!="Leve"),CONCATENATE("R32C",'Mapa final'!#REF!),"")</f>
        <v>#REF!</v>
      </c>
      <c r="K187" s="54" t="e">
        <f>IF(AND('Mapa final'!#REF!="Baja",'Mapa final'!#REF!="Leve"),CONCATENATE("R32C",'Mapa final'!#REF!),"")</f>
        <v>#REF!</v>
      </c>
      <c r="L187" s="116" t="e">
        <f>IF(AND('Mapa final'!#REF!="Baja",'Mapa final'!#REF!="Leve"),CONCATENATE("R32C",'Mapa final'!#REF!),"")</f>
        <v>#REF!</v>
      </c>
      <c r="M187" s="49" t="e">
        <f>IF(AND('Mapa final'!#REF!="Baja",'Mapa final'!#REF!="Menor"),CONCATENATE("R32C",'Mapa final'!#REF!),"")</f>
        <v>#REF!</v>
      </c>
      <c r="N187" s="50" t="e">
        <f>IF(AND('Mapa final'!#REF!="Baja",'Mapa final'!#REF!="Menor"),CONCATENATE("R32C",'Mapa final'!#REF!),"")</f>
        <v>#REF!</v>
      </c>
      <c r="O187" s="111" t="e">
        <f>IF(AND('Mapa final'!#REF!="Baja",'Mapa final'!#REF!="Menor"),CONCATENATE("R32C",'Mapa final'!#REF!),"")</f>
        <v>#REF!</v>
      </c>
      <c r="P187" s="49" t="e">
        <f>IF(AND('Mapa final'!#REF!="Baja",'Mapa final'!#REF!="Moderado"),CONCATENATE("R32C",'Mapa final'!#REF!),"")</f>
        <v>#REF!</v>
      </c>
      <c r="Q187" s="50" t="e">
        <f>IF(AND('Mapa final'!#REF!="Baja",'Mapa final'!#REF!="Moderado"),CONCATENATE("R32C",'Mapa final'!#REF!),"")</f>
        <v>#REF!</v>
      </c>
      <c r="R187" s="111" t="e">
        <f>IF(AND('Mapa final'!#REF!="Baja",'Mapa final'!#REF!="Moderado"),CONCATENATE("R32C",'Mapa final'!#REF!),"")</f>
        <v>#REF!</v>
      </c>
      <c r="S187" s="105" t="e">
        <f>IF(AND('Mapa final'!#REF!="Baja",'Mapa final'!#REF!="Mayor"),CONCATENATE("R32C",'Mapa final'!#REF!),"")</f>
        <v>#REF!</v>
      </c>
      <c r="T187" s="42" t="e">
        <f>IF(AND('Mapa final'!#REF!="Baja",'Mapa final'!#REF!="Mayor"),CONCATENATE("R32C",'Mapa final'!#REF!),"")</f>
        <v>#REF!</v>
      </c>
      <c r="U187" s="106" t="e">
        <f>IF(AND('Mapa final'!#REF!="Baja",'Mapa final'!#REF!="Mayor"),CONCATENATE("R32C",'Mapa final'!#REF!),"")</f>
        <v>#REF!</v>
      </c>
      <c r="V187" s="43" t="e">
        <f>IF(AND('Mapa final'!#REF!="Baja",'Mapa final'!#REF!="Catastrófico"),CONCATENATE("R32C",'Mapa final'!#REF!),"")</f>
        <v>#REF!</v>
      </c>
      <c r="W187" s="44" t="e">
        <f>IF(AND('Mapa final'!#REF!="Baja",'Mapa final'!#REF!="Catastrófico"),CONCATENATE("R32C",'Mapa final'!#REF!),"")</f>
        <v>#REF!</v>
      </c>
      <c r="X187" s="100" t="e">
        <f>IF(AND('Mapa final'!#REF!="Baja",'Mapa final'!#REF!="Catastrófico"),CONCATENATE("R32C",'Mapa final'!#REF!),"")</f>
        <v>#REF!</v>
      </c>
      <c r="Y187" s="56"/>
      <c r="Z187" s="312"/>
      <c r="AA187" s="313"/>
      <c r="AB187" s="313"/>
      <c r="AC187" s="313"/>
      <c r="AD187" s="313"/>
      <c r="AE187" s="314"/>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row>
    <row r="188" spans="1:61" ht="15" customHeight="1" x14ac:dyDescent="0.35">
      <c r="A188" s="56"/>
      <c r="B188" s="307"/>
      <c r="C188" s="307"/>
      <c r="D188" s="308"/>
      <c r="E188" s="284"/>
      <c r="F188" s="297"/>
      <c r="G188" s="297"/>
      <c r="H188" s="297"/>
      <c r="I188" s="279"/>
      <c r="J188" s="115" t="str">
        <f>IF(AND('Mapa final'!$AB$97="Baja",'Mapa final'!$AD$97="Leve"),CONCATENATE("R33C",'Mapa final'!$R$97),"")</f>
        <v/>
      </c>
      <c r="K188" s="54" t="str">
        <f>IF(AND('Mapa final'!$AB$98="Baja",'Mapa final'!$AD$98="Leve"),CONCATENATE("R33C",'Mapa final'!$R$98),"")</f>
        <v/>
      </c>
      <c r="L188" s="116" t="str">
        <f>IF(AND('Mapa final'!$AB$99="Baja",'Mapa final'!$AD$99="Leve"),CONCATENATE("R33C",'Mapa final'!$R$99),"")</f>
        <v/>
      </c>
      <c r="M188" s="49" t="str">
        <f>IF(AND('Mapa final'!$AB$97="Baja",'Mapa final'!$AD$97="Menor"),CONCATENATE("R33C",'Mapa final'!$R$97),"")</f>
        <v/>
      </c>
      <c r="N188" s="50" t="str">
        <f>IF(AND('Mapa final'!$AB$98="Baja",'Mapa final'!$AD$98="Menor"),CONCATENATE("R33C",'Mapa final'!$R$98),"")</f>
        <v/>
      </c>
      <c r="O188" s="111" t="str">
        <f>IF(AND('Mapa final'!$AB$99="Baja",'Mapa final'!$AD$99="Menor"),CONCATENATE("R33C",'Mapa final'!$R$99),"")</f>
        <v/>
      </c>
      <c r="P188" s="49" t="str">
        <f>IF(AND('Mapa final'!$AB$97="Baja",'Mapa final'!$AD$97="Moderado"),CONCATENATE("R33C",'Mapa final'!$R$97),"")</f>
        <v/>
      </c>
      <c r="Q188" s="50" t="str">
        <f>IF(AND('Mapa final'!$AB$98="Baja",'Mapa final'!$AD$98="Moderado"),CONCATENATE("R33C",'Mapa final'!$R$98),"")</f>
        <v/>
      </c>
      <c r="R188" s="111" t="str">
        <f>IF(AND('Mapa final'!$AB$99="Baja",'Mapa final'!$AD$99="Moderado"),CONCATENATE("R33C",'Mapa final'!$R$99),"")</f>
        <v/>
      </c>
      <c r="S188" s="105" t="str">
        <f>IF(AND('Mapa final'!$AB$97="Baja",'Mapa final'!$AD$97="Mayor"),CONCATENATE("R33C",'Mapa final'!$R$97),"")</f>
        <v/>
      </c>
      <c r="T188" s="42" t="str">
        <f>IF(AND('Mapa final'!$AB$98="Baja",'Mapa final'!$AD$98="Mayor"),CONCATENATE("R33C",'Mapa final'!$R$98),"")</f>
        <v/>
      </c>
      <c r="U188" s="106" t="str">
        <f>IF(AND('Mapa final'!$AB$99="Baja",'Mapa final'!$AD$99="Mayor"),CONCATENATE("R33C",'Mapa final'!$R$99),"")</f>
        <v/>
      </c>
      <c r="V188" s="43" t="str">
        <f>IF(AND('Mapa final'!$AB$97="Baja",'Mapa final'!$AD$97="Catastrófico"),CONCATENATE("R33C",'Mapa final'!$R$97),"")</f>
        <v/>
      </c>
      <c r="W188" s="44" t="str">
        <f>IF(AND('Mapa final'!$AB$98="Baja",'Mapa final'!$AD$98="Catastrófico"),CONCATENATE("R33C",'Mapa final'!$R$98),"")</f>
        <v/>
      </c>
      <c r="X188" s="100" t="str">
        <f>IF(AND('Mapa final'!$AB$99="Baja",'Mapa final'!$AD$99="Catastrófico"),CONCATENATE("R33C",'Mapa final'!$R$99),"")</f>
        <v/>
      </c>
      <c r="Y188" s="56"/>
      <c r="Z188" s="312"/>
      <c r="AA188" s="313"/>
      <c r="AB188" s="313"/>
      <c r="AC188" s="313"/>
      <c r="AD188" s="313"/>
      <c r="AE188" s="314"/>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row>
    <row r="189" spans="1:61" ht="15" customHeight="1" x14ac:dyDescent="0.35">
      <c r="A189" s="56"/>
      <c r="B189" s="307"/>
      <c r="C189" s="307"/>
      <c r="D189" s="308"/>
      <c r="E189" s="284"/>
      <c r="F189" s="297"/>
      <c r="G189" s="297"/>
      <c r="H189" s="297"/>
      <c r="I189" s="279"/>
      <c r="J189" s="115" t="str">
        <f>IF(AND('Mapa final'!$AB$100="Baja",'Mapa final'!$AD$100="Leve"),CONCATENATE("R34C",'Mapa final'!$R$100),"")</f>
        <v/>
      </c>
      <c r="K189" s="54" t="str">
        <f>IF(AND('Mapa final'!$AB$101="Baja",'Mapa final'!$AD$101="Leve"),CONCATENATE("R34C",'Mapa final'!$R$101),"")</f>
        <v/>
      </c>
      <c r="L189" s="116" t="str">
        <f>IF(AND('Mapa final'!$AB$102="Baja",'Mapa final'!$AD$102="Leve"),CONCATENATE("R34C",'Mapa final'!$R$102),"")</f>
        <v/>
      </c>
      <c r="M189" s="49" t="str">
        <f>IF(AND('Mapa final'!$AB$100="Baja",'Mapa final'!$AD$100="Menor"),CONCATENATE("R34C",'Mapa final'!$R$100),"")</f>
        <v/>
      </c>
      <c r="N189" s="50" t="str">
        <f>IF(AND('Mapa final'!$AB$101="Baja",'Mapa final'!$AD$101="Menor"),CONCATENATE("R34C",'Mapa final'!$R$101),"")</f>
        <v/>
      </c>
      <c r="O189" s="111" t="str">
        <f>IF(AND('Mapa final'!$AB$102="Baja",'Mapa final'!$AD$102="Menor"),CONCATENATE("R34C",'Mapa final'!$R$102),"")</f>
        <v/>
      </c>
      <c r="P189" s="49" t="str">
        <f>IF(AND('Mapa final'!$AB$100="Baja",'Mapa final'!$AD$100="Moderado"),CONCATENATE("R34C",'Mapa final'!$R$100),"")</f>
        <v/>
      </c>
      <c r="Q189" s="50" t="str">
        <f>IF(AND('Mapa final'!$AB$101="Baja",'Mapa final'!$AD$101="Moderado"),CONCATENATE("R34C",'Mapa final'!$R$101),"")</f>
        <v>R34C2</v>
      </c>
      <c r="R189" s="111" t="str">
        <f>IF(AND('Mapa final'!$AB$102="Baja",'Mapa final'!$AD$102="Moderado"),CONCATENATE("R34C",'Mapa final'!$R$102),"")</f>
        <v/>
      </c>
      <c r="S189" s="105" t="str">
        <f>IF(AND('Mapa final'!$AB$100="Baja",'Mapa final'!$AD$100="Mayor"),CONCATENATE("R34C",'Mapa final'!$R$100),"")</f>
        <v/>
      </c>
      <c r="T189" s="42" t="str">
        <f>IF(AND('Mapa final'!$AB$101="Baja",'Mapa final'!$AD$101="Mayor"),CONCATENATE("R34C",'Mapa final'!$R$101),"")</f>
        <v/>
      </c>
      <c r="U189" s="106" t="str">
        <f>IF(AND('Mapa final'!$AB$102="Baja",'Mapa final'!$AD$102="Mayor"),CONCATENATE("R34C",'Mapa final'!$R$102),"")</f>
        <v/>
      </c>
      <c r="V189" s="43" t="str">
        <f>IF(AND('Mapa final'!$AB$100="Baja",'Mapa final'!$AD$100="Catastrófico"),CONCATENATE("R34C",'Mapa final'!$R$100),"")</f>
        <v/>
      </c>
      <c r="W189" s="44" t="str">
        <f>IF(AND('Mapa final'!$AB$101="Baja",'Mapa final'!$AD$101="Catastrófico"),CONCATENATE("R34C",'Mapa final'!$R$101),"")</f>
        <v/>
      </c>
      <c r="X189" s="100" t="str">
        <f>IF(AND('Mapa final'!$AB$102="Baja",'Mapa final'!$AD$102="Catastrófico"),CONCATENATE("R34C",'Mapa final'!$R$102),"")</f>
        <v/>
      </c>
      <c r="Y189" s="56"/>
      <c r="Z189" s="312"/>
      <c r="AA189" s="313"/>
      <c r="AB189" s="313"/>
      <c r="AC189" s="313"/>
      <c r="AD189" s="313"/>
      <c r="AE189" s="314"/>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row>
    <row r="190" spans="1:61" ht="15" customHeight="1" x14ac:dyDescent="0.35">
      <c r="A190" s="56"/>
      <c r="B190" s="307"/>
      <c r="C190" s="307"/>
      <c r="D190" s="308"/>
      <c r="E190" s="284"/>
      <c r="F190" s="297"/>
      <c r="G190" s="297"/>
      <c r="H190" s="297"/>
      <c r="I190" s="279"/>
      <c r="J190" s="115" t="str">
        <f>IF(AND('Mapa final'!$AB$103="Baja",'Mapa final'!$AD$103="Leve"),CONCATENATE("R35C",'Mapa final'!$R$103),"")</f>
        <v/>
      </c>
      <c r="K190" s="54" t="str">
        <f>IF(AND('Mapa final'!$AB$104="Baja",'Mapa final'!$AD$104="Leve"),CONCATENATE("R35C",'Mapa final'!$R$104),"")</f>
        <v/>
      </c>
      <c r="L190" s="116" t="str">
        <f>IF(AND('Mapa final'!$AB$105="Baja",'Mapa final'!$AD$105="Leve"),CONCATENATE("R35C",'Mapa final'!$R$105),"")</f>
        <v/>
      </c>
      <c r="M190" s="49" t="str">
        <f>IF(AND('Mapa final'!$AB$103="Baja",'Mapa final'!$AD$103="Menor"),CONCATENATE("R35C",'Mapa final'!$R$103),"")</f>
        <v/>
      </c>
      <c r="N190" s="50" t="str">
        <f>IF(AND('Mapa final'!$AB$104="Baja",'Mapa final'!$AD$104="Menor"),CONCATENATE("R35C",'Mapa final'!$R$104),"")</f>
        <v/>
      </c>
      <c r="O190" s="111" t="str">
        <f>IF(AND('Mapa final'!$AB$105="Baja",'Mapa final'!$AD$105="Menor"),CONCATENATE("R35C",'Mapa final'!$R$105),"")</f>
        <v/>
      </c>
      <c r="P190" s="49" t="str">
        <f>IF(AND('Mapa final'!$AB$103="Baja",'Mapa final'!$AD$103="Moderado"),CONCATENATE("R35C",'Mapa final'!$R$103),"")</f>
        <v>R35C1</v>
      </c>
      <c r="Q190" s="50" t="str">
        <f>IF(AND('Mapa final'!$AB$104="Baja",'Mapa final'!$AD$104="Moderado"),CONCATENATE("R35C",'Mapa final'!$R$104),"")</f>
        <v>R35C2</v>
      </c>
      <c r="R190" s="111" t="str">
        <f>IF(AND('Mapa final'!$AB$105="Baja",'Mapa final'!$AD$105="Moderado"),CONCATENATE("R35C",'Mapa final'!$R$105),"")</f>
        <v/>
      </c>
      <c r="S190" s="105" t="str">
        <f>IF(AND('Mapa final'!$AB$103="Baja",'Mapa final'!$AD$103="Mayor"),CONCATENATE("R35C",'Mapa final'!$R$103),"")</f>
        <v/>
      </c>
      <c r="T190" s="42" t="str">
        <f>IF(AND('Mapa final'!$AB$104="Baja",'Mapa final'!$AD$104="Mayor"),CONCATENATE("R35C",'Mapa final'!$R$104),"")</f>
        <v/>
      </c>
      <c r="U190" s="106" t="str">
        <f>IF(AND('Mapa final'!$AB$105="Baja",'Mapa final'!$AD$105="Mayor"),CONCATENATE("R35C",'Mapa final'!$R$105),"")</f>
        <v/>
      </c>
      <c r="V190" s="43" t="str">
        <f>IF(AND('Mapa final'!$AB$103="Baja",'Mapa final'!$AD$103="Catastrófico"),CONCATENATE("R35C",'Mapa final'!$R$103),"")</f>
        <v/>
      </c>
      <c r="W190" s="44" t="str">
        <f>IF(AND('Mapa final'!$AB$104="Baja",'Mapa final'!$AD$104="Catastrófico"),CONCATENATE("R35C",'Mapa final'!$R$104),"")</f>
        <v/>
      </c>
      <c r="X190" s="100" t="str">
        <f>IF(AND('Mapa final'!$AB$105="Baja",'Mapa final'!$AD$105="Catastrófico"),CONCATENATE("R35C",'Mapa final'!$R$105),"")</f>
        <v/>
      </c>
      <c r="Y190" s="56"/>
      <c r="Z190" s="312"/>
      <c r="AA190" s="313"/>
      <c r="AB190" s="313"/>
      <c r="AC190" s="313"/>
      <c r="AD190" s="313"/>
      <c r="AE190" s="314"/>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row>
    <row r="191" spans="1:61" ht="15" customHeight="1" x14ac:dyDescent="0.35">
      <c r="A191" s="56"/>
      <c r="B191" s="307"/>
      <c r="C191" s="307"/>
      <c r="D191" s="308"/>
      <c r="E191" s="284"/>
      <c r="F191" s="297"/>
      <c r="G191" s="297"/>
      <c r="H191" s="297"/>
      <c r="I191" s="279"/>
      <c r="J191" s="115" t="str">
        <f>IF(AND('Mapa final'!$AB$106="Baja",'Mapa final'!$AD$106="Leve"),CONCATENATE("R36C",'Mapa final'!$R$106),"")</f>
        <v/>
      </c>
      <c r="K191" s="54" t="str">
        <f>IF(AND('Mapa final'!$AB$107="Baja",'Mapa final'!$AD$107="Leve"),CONCATENATE("R36C",'Mapa final'!$R$107),"")</f>
        <v/>
      </c>
      <c r="L191" s="116" t="str">
        <f>IF(AND('Mapa final'!$AB$108="Baja",'Mapa final'!$AD$108="Leve"),CONCATENATE("R36C",'Mapa final'!$R$108),"")</f>
        <v/>
      </c>
      <c r="M191" s="49" t="str">
        <f>IF(AND('Mapa final'!$AB$106="Baja",'Mapa final'!$AD$106="Menor"),CONCATENATE("R36C",'Mapa final'!$R$106),"")</f>
        <v/>
      </c>
      <c r="N191" s="50" t="str">
        <f>IF(AND('Mapa final'!$AB$107="Baja",'Mapa final'!$AD$107="Menor"),CONCATENATE("R36C",'Mapa final'!$R$107),"")</f>
        <v/>
      </c>
      <c r="O191" s="111" t="str">
        <f>IF(AND('Mapa final'!$AB$108="Baja",'Mapa final'!$AD$108="Menor"),CONCATENATE("R36C",'Mapa final'!$R$108),"")</f>
        <v/>
      </c>
      <c r="P191" s="49" t="str">
        <f>IF(AND('Mapa final'!$AB$106="Baja",'Mapa final'!$AD$106="Moderado"),CONCATENATE("R36C",'Mapa final'!$R$106),"")</f>
        <v/>
      </c>
      <c r="Q191" s="50" t="str">
        <f>IF(AND('Mapa final'!$AB$107="Baja",'Mapa final'!$AD$107="Moderado"),CONCATENATE("R36C",'Mapa final'!$R$107),"")</f>
        <v/>
      </c>
      <c r="R191" s="111" t="str">
        <f>IF(AND('Mapa final'!$AB$108="Baja",'Mapa final'!$AD$108="Moderado"),CONCATENATE("R36C",'Mapa final'!$R$108),"")</f>
        <v/>
      </c>
      <c r="S191" s="105" t="str">
        <f>IF(AND('Mapa final'!$AB$106="Baja",'Mapa final'!$AD$106="Mayor"),CONCATENATE("R36C",'Mapa final'!$R$106),"")</f>
        <v>R36C1</v>
      </c>
      <c r="T191" s="42" t="str">
        <f>IF(AND('Mapa final'!$AB$107="Baja",'Mapa final'!$AD$107="Mayor"),CONCATENATE("R36C",'Mapa final'!$R$107),"")</f>
        <v>R36C2</v>
      </c>
      <c r="U191" s="106" t="str">
        <f>IF(AND('Mapa final'!$AB$108="Baja",'Mapa final'!$AD$108="Mayor"),CONCATENATE("R36C",'Mapa final'!$R$108),"")</f>
        <v/>
      </c>
      <c r="V191" s="43" t="str">
        <f>IF(AND('Mapa final'!$AB$106="Baja",'Mapa final'!$AD$106="Catastrófico"),CONCATENATE("R36C",'Mapa final'!$R$106),"")</f>
        <v/>
      </c>
      <c r="W191" s="44" t="str">
        <f>IF(AND('Mapa final'!$AB$107="Baja",'Mapa final'!$AD$107="Catastrófico"),CONCATENATE("R36C",'Mapa final'!$R$107),"")</f>
        <v/>
      </c>
      <c r="X191" s="100" t="str">
        <f>IF(AND('Mapa final'!$AB$108="Baja",'Mapa final'!$AD$108="Catastrófico"),CONCATENATE("R36C",'Mapa final'!$R$108),"")</f>
        <v/>
      </c>
      <c r="Y191" s="56"/>
      <c r="Z191" s="312"/>
      <c r="AA191" s="313"/>
      <c r="AB191" s="313"/>
      <c r="AC191" s="313"/>
      <c r="AD191" s="313"/>
      <c r="AE191" s="314"/>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row>
    <row r="192" spans="1:61" ht="15" customHeight="1" x14ac:dyDescent="0.35">
      <c r="A192" s="56"/>
      <c r="B192" s="307"/>
      <c r="C192" s="307"/>
      <c r="D192" s="308"/>
      <c r="E192" s="284"/>
      <c r="F192" s="297"/>
      <c r="G192" s="297"/>
      <c r="H192" s="297"/>
      <c r="I192" s="279"/>
      <c r="J192" s="115" t="str">
        <f>IF(AND('Mapa final'!$AB$109="Baja",'Mapa final'!$AD$109="Leve"),CONCATENATE("R37C",'Mapa final'!$R$109),"")</f>
        <v/>
      </c>
      <c r="K192" s="54" t="str">
        <f>IF(AND('Mapa final'!$AB$110="Baja",'Mapa final'!$AD$110="Leve"),CONCATENATE("R37C",'Mapa final'!$R$110),"")</f>
        <v/>
      </c>
      <c r="L192" s="116" t="str">
        <f>IF(AND('Mapa final'!$AB$111="Baja",'Mapa final'!$AD$111="Leve"),CONCATENATE("R37C",'Mapa final'!$R$111),"")</f>
        <v/>
      </c>
      <c r="M192" s="49" t="str">
        <f>IF(AND('Mapa final'!$AB$109="Baja",'Mapa final'!$AD$109="Menor"),CONCATENATE("R37C",'Mapa final'!$R$109),"")</f>
        <v>R37C1</v>
      </c>
      <c r="N192" s="50" t="str">
        <f>IF(AND('Mapa final'!$AB$110="Baja",'Mapa final'!$AD$110="Menor"),CONCATENATE("R37C",'Mapa final'!$R$110),"")</f>
        <v>R37C2</v>
      </c>
      <c r="O192" s="111" t="str">
        <f>IF(AND('Mapa final'!$AB$111="Baja",'Mapa final'!$AD$111="Menor"),CONCATENATE("R37C",'Mapa final'!$R$111),"")</f>
        <v/>
      </c>
      <c r="P192" s="49" t="str">
        <f>IF(AND('Mapa final'!$AB$109="Baja",'Mapa final'!$AD$109="Moderado"),CONCATENATE("R37C",'Mapa final'!$R$109),"")</f>
        <v/>
      </c>
      <c r="Q192" s="50" t="str">
        <f>IF(AND('Mapa final'!$AB$110="Baja",'Mapa final'!$AD$110="Moderado"),CONCATENATE("R37C",'Mapa final'!$R$110),"")</f>
        <v/>
      </c>
      <c r="R192" s="111" t="str">
        <f>IF(AND('Mapa final'!$AB$111="Baja",'Mapa final'!$AD$111="Moderado"),CONCATENATE("R37C",'Mapa final'!$R$111),"")</f>
        <v/>
      </c>
      <c r="S192" s="105" t="str">
        <f>IF(AND('Mapa final'!$AB$109="Baja",'Mapa final'!$AD$109="Mayor"),CONCATENATE("R37C",'Mapa final'!$R$109),"")</f>
        <v/>
      </c>
      <c r="T192" s="42" t="str">
        <f>IF(AND('Mapa final'!$AB$110="Baja",'Mapa final'!$AD$110="Mayor"),CONCATENATE("R37C",'Mapa final'!$R$110),"")</f>
        <v/>
      </c>
      <c r="U192" s="106" t="str">
        <f>IF(AND('Mapa final'!$AB$111="Baja",'Mapa final'!$AD$111="Mayor"),CONCATENATE("R37C",'Mapa final'!$R$111),"")</f>
        <v/>
      </c>
      <c r="V192" s="43" t="str">
        <f>IF(AND('Mapa final'!$AB$109="Baja",'Mapa final'!$AD$109="Catastrófico"),CONCATENATE("R37C",'Mapa final'!$R$109),"")</f>
        <v/>
      </c>
      <c r="W192" s="44" t="str">
        <f>IF(AND('Mapa final'!$AB$110="Baja",'Mapa final'!$AD$110="Catastrófico"),CONCATENATE("R37C",'Mapa final'!$R$110),"")</f>
        <v/>
      </c>
      <c r="X192" s="100" t="str">
        <f>IF(AND('Mapa final'!$AB$111="Baja",'Mapa final'!$AD$111="Catastrófico"),CONCATENATE("R37C",'Mapa final'!$R$111),"")</f>
        <v/>
      </c>
      <c r="Y192" s="56"/>
      <c r="Z192" s="312"/>
      <c r="AA192" s="313"/>
      <c r="AB192" s="313"/>
      <c r="AC192" s="313"/>
      <c r="AD192" s="313"/>
      <c r="AE192" s="314"/>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row>
    <row r="193" spans="1:65" ht="15" customHeight="1" x14ac:dyDescent="0.35">
      <c r="A193" s="56"/>
      <c r="B193" s="307"/>
      <c r="C193" s="307"/>
      <c r="D193" s="308"/>
      <c r="E193" s="284"/>
      <c r="F193" s="297"/>
      <c r="G193" s="297"/>
      <c r="H193" s="297"/>
      <c r="I193" s="279"/>
      <c r="J193" s="115" t="str">
        <f>IF(AND('Mapa final'!$AB$112="Baja",'Mapa final'!$AD$112="Leve"),CONCATENATE("R38C",'Mapa final'!$R$112),"")</f>
        <v/>
      </c>
      <c r="K193" s="54" t="str">
        <f>IF(AND('Mapa final'!$AB$113="Baja",'Mapa final'!$AD$113="Leve"),CONCATENATE("R38C",'Mapa final'!$R$113),"")</f>
        <v/>
      </c>
      <c r="L193" s="116" t="str">
        <f>IF(AND('Mapa final'!$AB$114="Baja",'Mapa final'!$AD$114="Leve"),CONCATENATE("R38C",'Mapa final'!$R$114),"")</f>
        <v/>
      </c>
      <c r="M193" s="49" t="str">
        <f>IF(AND('Mapa final'!$AB$112="Baja",'Mapa final'!$AD$112="Menor"),CONCATENATE("R38C",'Mapa final'!$R$112),"")</f>
        <v>R38C1</v>
      </c>
      <c r="N193" s="50" t="str">
        <f>IF(AND('Mapa final'!$AB$113="Baja",'Mapa final'!$AD$113="Menor"),CONCATENATE("R38C",'Mapa final'!$R$113),"")</f>
        <v/>
      </c>
      <c r="O193" s="111" t="str">
        <f>IF(AND('Mapa final'!$AB$114="Baja",'Mapa final'!$AD$114="Menor"),CONCATENATE("R38C",'Mapa final'!$R$114),"")</f>
        <v/>
      </c>
      <c r="P193" s="49" t="str">
        <f>IF(AND('Mapa final'!$AB$112="Baja",'Mapa final'!$AD$112="Moderado"),CONCATENATE("R38C",'Mapa final'!$R$112),"")</f>
        <v/>
      </c>
      <c r="Q193" s="50" t="str">
        <f>IF(AND('Mapa final'!$AB$113="Baja",'Mapa final'!$AD$113="Moderado"),CONCATENATE("R38C",'Mapa final'!$R$113),"")</f>
        <v/>
      </c>
      <c r="R193" s="111" t="str">
        <f>IF(AND('Mapa final'!$AB$114="Baja",'Mapa final'!$AD$114="Moderado"),CONCATENATE("R38C",'Mapa final'!$R$114),"")</f>
        <v/>
      </c>
      <c r="S193" s="105" t="str">
        <f>IF(AND('Mapa final'!$AB$112="Baja",'Mapa final'!$AD$112="Mayor"),CONCATENATE("R38C",'Mapa final'!$R$112),"")</f>
        <v/>
      </c>
      <c r="T193" s="42" t="str">
        <f>IF(AND('Mapa final'!$AB$113="Baja",'Mapa final'!$AD$113="Mayor"),CONCATENATE("R38C",'Mapa final'!$R$113),"")</f>
        <v/>
      </c>
      <c r="U193" s="106" t="str">
        <f>IF(AND('Mapa final'!$AB$114="Baja",'Mapa final'!$AD$114="Mayor"),CONCATENATE("R38C",'Mapa final'!$R$114),"")</f>
        <v/>
      </c>
      <c r="V193" s="43" t="str">
        <f>IF(AND('Mapa final'!$AB$112="Baja",'Mapa final'!$AD$112="Catastrófico"),CONCATENATE("R38C",'Mapa final'!$R$112),"")</f>
        <v/>
      </c>
      <c r="W193" s="44" t="str">
        <f>IF(AND('Mapa final'!$AB$113="Baja",'Mapa final'!$AD$113="Catastrófico"),CONCATENATE("R38C",'Mapa final'!$R$113),"")</f>
        <v/>
      </c>
      <c r="X193" s="100" t="str">
        <f>IF(AND('Mapa final'!$AB$114="Baja",'Mapa final'!$AD$114="Catastrófico"),CONCATENATE("R38C",'Mapa final'!$R$114),"")</f>
        <v/>
      </c>
      <c r="Y193" s="56"/>
      <c r="Z193" s="312"/>
      <c r="AA193" s="313"/>
      <c r="AB193" s="313"/>
      <c r="AC193" s="313"/>
      <c r="AD193" s="313"/>
      <c r="AE193" s="314"/>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row>
    <row r="194" spans="1:65" ht="15" customHeight="1" x14ac:dyDescent="0.35">
      <c r="A194" s="56"/>
      <c r="B194" s="307"/>
      <c r="C194" s="307"/>
      <c r="D194" s="308"/>
      <c r="E194" s="284"/>
      <c r="F194" s="297"/>
      <c r="G194" s="297"/>
      <c r="H194" s="297"/>
      <c r="I194" s="279"/>
      <c r="J194" s="115" t="str">
        <f>IF(AND('Mapa final'!$AB$115="Baja",'Mapa final'!$AD$115="Leve"),CONCATENATE("R39C",'Mapa final'!$R$115),"")</f>
        <v/>
      </c>
      <c r="K194" s="54" t="str">
        <f>IF(AND('Mapa final'!$AB$116="Baja",'Mapa final'!$AD$116="Leve"),CONCATENATE("R39C",'Mapa final'!$R$116),"")</f>
        <v/>
      </c>
      <c r="L194" s="116" t="str">
        <f>IF(AND('Mapa final'!$AB$117="Baja",'Mapa final'!$AD$117="Leve"),CONCATENATE("R39C",'Mapa final'!$R$117),"")</f>
        <v/>
      </c>
      <c r="M194" s="49" t="str">
        <f>IF(AND('Mapa final'!$AB$115="Baja",'Mapa final'!$AD$115="Menor"),CONCATENATE("R39C",'Mapa final'!$R$115),"")</f>
        <v/>
      </c>
      <c r="N194" s="50" t="str">
        <f>IF(AND('Mapa final'!$AB$116="Baja",'Mapa final'!$AD$116="Menor"),CONCATENATE("R39C",'Mapa final'!$R$116),"")</f>
        <v>R39C2</v>
      </c>
      <c r="O194" s="111" t="str">
        <f>IF(AND('Mapa final'!$AB$117="Baja",'Mapa final'!$AD$117="Menor"),CONCATENATE("R39C",'Mapa final'!$R$117),"")</f>
        <v>R39C3</v>
      </c>
      <c r="P194" s="49" t="str">
        <f>IF(AND('Mapa final'!$AB$115="Baja",'Mapa final'!$AD$115="Moderado"),CONCATENATE("R39C",'Mapa final'!$R$115),"")</f>
        <v/>
      </c>
      <c r="Q194" s="50" t="str">
        <f>IF(AND('Mapa final'!$AB$116="Baja",'Mapa final'!$AD$116="Moderado"),CONCATENATE("R39C",'Mapa final'!$R$116),"")</f>
        <v/>
      </c>
      <c r="R194" s="111" t="str">
        <f>IF(AND('Mapa final'!$AB$117="Baja",'Mapa final'!$AD$117="Moderado"),CONCATENATE("R39C",'Mapa final'!$R$117),"")</f>
        <v/>
      </c>
      <c r="S194" s="105" t="str">
        <f>IF(AND('Mapa final'!$AB$115="Baja",'Mapa final'!$AD$115="Mayor"),CONCATENATE("R39C",'Mapa final'!$R$115),"")</f>
        <v/>
      </c>
      <c r="T194" s="42" t="str">
        <f>IF(AND('Mapa final'!$AB$116="Baja",'Mapa final'!$AD$116="Mayor"),CONCATENATE("R39C",'Mapa final'!$R$116),"")</f>
        <v/>
      </c>
      <c r="U194" s="106" t="str">
        <f>IF(AND('Mapa final'!$AB$117="Baja",'Mapa final'!$AD$117="Mayor"),CONCATENATE("R39C",'Mapa final'!$R$117),"")</f>
        <v/>
      </c>
      <c r="V194" s="43" t="str">
        <f>IF(AND('Mapa final'!$AB$115="Baja",'Mapa final'!$AD$115="Catastrófico"),CONCATENATE("R39C",'Mapa final'!$R$115),"")</f>
        <v/>
      </c>
      <c r="W194" s="44" t="str">
        <f>IF(AND('Mapa final'!$AB$116="Baja",'Mapa final'!$AD$116="Catastrófico"),CONCATENATE("R39C",'Mapa final'!$R$116),"")</f>
        <v/>
      </c>
      <c r="X194" s="100" t="str">
        <f>IF(AND('Mapa final'!$AB$117="Baja",'Mapa final'!$AD$117="Catastrófico"),CONCATENATE("R39C",'Mapa final'!$R$117),"")</f>
        <v/>
      </c>
      <c r="Y194" s="56"/>
      <c r="Z194" s="312"/>
      <c r="AA194" s="313"/>
      <c r="AB194" s="313"/>
      <c r="AC194" s="313"/>
      <c r="AD194" s="313"/>
      <c r="AE194" s="314"/>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row>
    <row r="195" spans="1:65" ht="15" customHeight="1" x14ac:dyDescent="0.35">
      <c r="A195" s="56"/>
      <c r="B195" s="307"/>
      <c r="C195" s="307"/>
      <c r="D195" s="308"/>
      <c r="E195" s="284"/>
      <c r="F195" s="297"/>
      <c r="G195" s="297"/>
      <c r="H195" s="297"/>
      <c r="I195" s="279"/>
      <c r="J195" s="115" t="str">
        <f>IF(AND('Mapa final'!$AB$118="Baja",'Mapa final'!$AD$118="Leve"),CONCATENATE("R40C",'Mapa final'!$R$118),"")</f>
        <v/>
      </c>
      <c r="K195" s="54" t="str">
        <f>IF(AND('Mapa final'!$AB$119="Baja",'Mapa final'!$AD$119="Leve"),CONCATENATE("R40C",'Mapa final'!$R$119),"")</f>
        <v>R40C2</v>
      </c>
      <c r="L195" s="116" t="str">
        <f>IF(AND('Mapa final'!$AB$120="Baja",'Mapa final'!$AD$120="Leve"),CONCATENATE("R40C",'Mapa final'!$R$120),"")</f>
        <v/>
      </c>
      <c r="M195" s="49" t="str">
        <f>IF(AND('Mapa final'!$AB$118="Baja",'Mapa final'!$AD$118="Menor"),CONCATENATE("R40C",'Mapa final'!$R$118),"")</f>
        <v/>
      </c>
      <c r="N195" s="50" t="str">
        <f>IF(AND('Mapa final'!$AB$119="Baja",'Mapa final'!$AD$119="Menor"),CONCATENATE("R40C",'Mapa final'!$R$119),"")</f>
        <v/>
      </c>
      <c r="O195" s="111" t="str">
        <f>IF(AND('Mapa final'!$AB$120="Baja",'Mapa final'!$AD$120="Menor"),CONCATENATE("R40C",'Mapa final'!$R$120),"")</f>
        <v/>
      </c>
      <c r="P195" s="49" t="str">
        <f>IF(AND('Mapa final'!$AB$118="Baja",'Mapa final'!$AD$118="Moderado"),CONCATENATE("R40C",'Mapa final'!$R$118),"")</f>
        <v>R40C1</v>
      </c>
      <c r="Q195" s="50" t="str">
        <f>IF(AND('Mapa final'!$AB$119="Baja",'Mapa final'!$AD$119="Moderado"),CONCATENATE("R40C",'Mapa final'!$R$119),"")</f>
        <v/>
      </c>
      <c r="R195" s="111" t="str">
        <f>IF(AND('Mapa final'!$AB$120="Baja",'Mapa final'!$AD$120="Moderado"),CONCATENATE("R40C",'Mapa final'!$R$120),"")</f>
        <v/>
      </c>
      <c r="S195" s="105" t="str">
        <f>IF(AND('Mapa final'!$AB$118="Baja",'Mapa final'!$AD$118="Mayor"),CONCATENATE("R40C",'Mapa final'!$R$118),"")</f>
        <v/>
      </c>
      <c r="T195" s="42" t="str">
        <f>IF(AND('Mapa final'!$AB$119="Baja",'Mapa final'!$AD$119="Mayor"),CONCATENATE("R40C",'Mapa final'!$R$119),"")</f>
        <v/>
      </c>
      <c r="U195" s="106" t="str">
        <f>IF(AND('Mapa final'!$AB$120="Baja",'Mapa final'!$AD$120="Mayor"),CONCATENATE("R40C",'Mapa final'!$R$120),"")</f>
        <v/>
      </c>
      <c r="V195" s="43" t="str">
        <f>IF(AND('Mapa final'!$AB$118="Baja",'Mapa final'!$AD$118="Catastrófico"),CONCATENATE("R40C",'Mapa final'!$R$118),"")</f>
        <v/>
      </c>
      <c r="W195" s="44" t="str">
        <f>IF(AND('Mapa final'!$AB$119="Baja",'Mapa final'!$AD$119="Catastrófico"),CONCATENATE("R40C",'Mapa final'!$R$119),"")</f>
        <v/>
      </c>
      <c r="X195" s="100" t="str">
        <f>IF(AND('Mapa final'!$AB$120="Baja",'Mapa final'!$AD$120="Catastrófico"),CONCATENATE("R40C",'Mapa final'!$R$120),"")</f>
        <v/>
      </c>
      <c r="Y195" s="56"/>
      <c r="Z195" s="312"/>
      <c r="AA195" s="313"/>
      <c r="AB195" s="313"/>
      <c r="AC195" s="313"/>
      <c r="AD195" s="313"/>
      <c r="AE195" s="314"/>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row>
    <row r="196" spans="1:65" ht="15" customHeight="1" x14ac:dyDescent="0.35">
      <c r="A196" s="56"/>
      <c r="B196" s="307"/>
      <c r="C196" s="307"/>
      <c r="D196" s="308"/>
      <c r="E196" s="284"/>
      <c r="F196" s="297"/>
      <c r="G196" s="297"/>
      <c r="H196" s="297"/>
      <c r="I196" s="279"/>
      <c r="J196" s="115" t="str">
        <f>IF(AND('Mapa final'!$AB$121="Baja",'Mapa final'!$AD$121="Leve"),CONCATENATE("R41C",'Mapa final'!$R$121),"")</f>
        <v/>
      </c>
      <c r="K196" s="54" t="str">
        <f>IF(AND('Mapa final'!$AB$122="Baja",'Mapa final'!$AD$122="Leve"),CONCATENATE("R41C",'Mapa final'!$R$122),"")</f>
        <v/>
      </c>
      <c r="L196" s="116" t="str">
        <f>IF(AND('Mapa final'!$AB$123="Baja",'Mapa final'!$AD$123="Leve"),CONCATENATE("R41C",'Mapa final'!$R$123),"")</f>
        <v/>
      </c>
      <c r="M196" s="49" t="str">
        <f>IF(AND('Mapa final'!$AB$121="Baja",'Mapa final'!$AD$121="Menor"),CONCATENATE("R41C",'Mapa final'!$R$121),"")</f>
        <v/>
      </c>
      <c r="N196" s="50" t="str">
        <f>IF(AND('Mapa final'!$AB$122="Baja",'Mapa final'!$AD$122="Menor"),CONCATENATE("R41C",'Mapa final'!$R$122),"")</f>
        <v/>
      </c>
      <c r="O196" s="111" t="str">
        <f>IF(AND('Mapa final'!$AB$123="Baja",'Mapa final'!$AD$123="Menor"),CONCATENATE("R41C",'Mapa final'!$R$123),"")</f>
        <v/>
      </c>
      <c r="P196" s="49" t="str">
        <f>IF(AND('Mapa final'!$AB$121="Baja",'Mapa final'!$AD$121="Moderado"),CONCATENATE("R41C",'Mapa final'!$R$121),"")</f>
        <v/>
      </c>
      <c r="Q196" s="50" t="str">
        <f>IF(AND('Mapa final'!$AB$122="Baja",'Mapa final'!$AD$122="Moderado"),CONCATENATE("R41C",'Mapa final'!$R$122),"")</f>
        <v/>
      </c>
      <c r="R196" s="111" t="str">
        <f>IF(AND('Mapa final'!$AB$123="Baja",'Mapa final'!$AD$123="Moderado"),CONCATENATE("R41C",'Mapa final'!$R$123),"")</f>
        <v/>
      </c>
      <c r="S196" s="105" t="str">
        <f>IF(AND('Mapa final'!$AB$121="Baja",'Mapa final'!$AD$121="Mayor"),CONCATENATE("R41C",'Mapa final'!$R$121),"")</f>
        <v/>
      </c>
      <c r="T196" s="42" t="str">
        <f>IF(AND('Mapa final'!$AB$122="Baja",'Mapa final'!$AD$122="Mayor"),CONCATENATE("R41C",'Mapa final'!$R$122),"")</f>
        <v/>
      </c>
      <c r="U196" s="106" t="str">
        <f>IF(AND('Mapa final'!$AB$123="Baja",'Mapa final'!$AD$123="Mayor"),CONCATENATE("R41C",'Mapa final'!$R$123),"")</f>
        <v/>
      </c>
      <c r="V196" s="43" t="str">
        <f>IF(AND('Mapa final'!$AB$121="Baja",'Mapa final'!$AD$121="Catastrófico"),CONCATENATE("R41C",'Mapa final'!$R$121),"")</f>
        <v/>
      </c>
      <c r="W196" s="44" t="str">
        <f>IF(AND('Mapa final'!$AB$122="Baja",'Mapa final'!$AD$122="Catastrófico"),CONCATENATE("R41C",'Mapa final'!$R$122),"")</f>
        <v/>
      </c>
      <c r="X196" s="100" t="str">
        <f>IF(AND('Mapa final'!$AB$123="Baja",'Mapa final'!$AD$123="Catastrófico"),CONCATENATE("R41C",'Mapa final'!$R$123),"")</f>
        <v/>
      </c>
      <c r="Y196" s="56"/>
      <c r="Z196" s="312"/>
      <c r="AA196" s="313"/>
      <c r="AB196" s="313"/>
      <c r="AC196" s="313"/>
      <c r="AD196" s="313"/>
      <c r="AE196" s="314"/>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row>
    <row r="197" spans="1:65" ht="15" customHeight="1" x14ac:dyDescent="0.35">
      <c r="A197" s="56"/>
      <c r="B197" s="307"/>
      <c r="C197" s="307"/>
      <c r="D197" s="308"/>
      <c r="E197" s="284"/>
      <c r="F197" s="297"/>
      <c r="G197" s="297"/>
      <c r="H197" s="297"/>
      <c r="I197" s="279"/>
      <c r="J197" s="115" t="str">
        <f>IF(AND('Mapa final'!$AB$124="Baja",'Mapa final'!$AD$124="Leve"),CONCATENATE("R42C",'Mapa final'!$R$124),"")</f>
        <v/>
      </c>
      <c r="K197" s="54" t="str">
        <f>IF(AND('Mapa final'!$AB$125="Baja",'Mapa final'!$AD$125="Leve"),CONCATENATE("R42C",'Mapa final'!$R$125),"")</f>
        <v/>
      </c>
      <c r="L197" s="116" t="str">
        <f>IF(AND('Mapa final'!$AB$126="Baja",'Mapa final'!$AD$126="Leve"),CONCATENATE("R42C",'Mapa final'!$R$126),"")</f>
        <v/>
      </c>
      <c r="M197" s="49" t="str">
        <f>IF(AND('Mapa final'!$AB$124="Baja",'Mapa final'!$AD$124="Menor"),CONCATENATE("R42C",'Mapa final'!$R$124),"")</f>
        <v/>
      </c>
      <c r="N197" s="50" t="str">
        <f>IF(AND('Mapa final'!$AB$125="Baja",'Mapa final'!$AD$125="Menor"),CONCATENATE("R42C",'Mapa final'!$R$125),"")</f>
        <v/>
      </c>
      <c r="O197" s="111" t="str">
        <f>IF(AND('Mapa final'!$AB$126="Baja",'Mapa final'!$AD$126="Menor"),CONCATENATE("R42C",'Mapa final'!$R$126),"")</f>
        <v/>
      </c>
      <c r="P197" s="49" t="str">
        <f>IF(AND('Mapa final'!$AB$124="Baja",'Mapa final'!$AD$124="Moderado"),CONCATENATE("R42C",'Mapa final'!$R$124),"")</f>
        <v>R42C1</v>
      </c>
      <c r="Q197" s="50" t="str">
        <f>IF(AND('Mapa final'!$AB$125="Baja",'Mapa final'!$AD$125="Moderado"),CONCATENATE("R42C",'Mapa final'!$R$125),"")</f>
        <v/>
      </c>
      <c r="R197" s="111" t="str">
        <f>IF(AND('Mapa final'!$AB$126="Baja",'Mapa final'!$AD$126="Moderado"),CONCATENATE("R42C",'Mapa final'!$R$126),"")</f>
        <v/>
      </c>
      <c r="S197" s="105" t="str">
        <f>IF(AND('Mapa final'!$AB$124="Baja",'Mapa final'!$AD$124="Mayor"),CONCATENATE("R42C",'Mapa final'!$R$124),"")</f>
        <v/>
      </c>
      <c r="T197" s="42" t="str">
        <f>IF(AND('Mapa final'!$AB$125="Baja",'Mapa final'!$AD$125="Mayor"),CONCATENATE("R42C",'Mapa final'!$R$125),"")</f>
        <v/>
      </c>
      <c r="U197" s="106" t="str">
        <f>IF(AND('Mapa final'!$AB$126="Baja",'Mapa final'!$AD$126="Mayor"),CONCATENATE("R42C",'Mapa final'!$R$126),"")</f>
        <v/>
      </c>
      <c r="V197" s="43" t="str">
        <f>IF(AND('Mapa final'!$AB$124="Baja",'Mapa final'!$AD$124="Catastrófico"),CONCATENATE("R42C",'Mapa final'!$R$124),"")</f>
        <v/>
      </c>
      <c r="W197" s="44" t="str">
        <f>IF(AND('Mapa final'!$AB$125="Baja",'Mapa final'!$AD$125="Catastrófico"),CONCATENATE("R42C",'Mapa final'!$R$125),"")</f>
        <v/>
      </c>
      <c r="X197" s="100" t="str">
        <f>IF(AND('Mapa final'!$AB$126="Baja",'Mapa final'!$AD$126="Catastrófico"),CONCATENATE("R42C",'Mapa final'!$R$126),"")</f>
        <v/>
      </c>
      <c r="Y197" s="56"/>
      <c r="Z197" s="312"/>
      <c r="AA197" s="313"/>
      <c r="AB197" s="313"/>
      <c r="AC197" s="313"/>
      <c r="AD197" s="313"/>
      <c r="AE197" s="314"/>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row>
    <row r="198" spans="1:65" ht="15" customHeight="1" x14ac:dyDescent="0.35">
      <c r="A198" s="56"/>
      <c r="B198" s="307"/>
      <c r="C198" s="307"/>
      <c r="D198" s="308"/>
      <c r="E198" s="284"/>
      <c r="F198" s="297"/>
      <c r="G198" s="297"/>
      <c r="H198" s="297"/>
      <c r="I198" s="279"/>
      <c r="J198" s="115" t="str">
        <f>IF(AND('Mapa final'!$AB$127="Baja",'Mapa final'!$AD$127="Leve"),CONCATENATE("R43C",'Mapa final'!$R$127),"")</f>
        <v/>
      </c>
      <c r="K198" s="54" t="str">
        <f>IF(AND('Mapa final'!$AB$128="Baja",'Mapa final'!$AD$128="Leve"),CONCATENATE("R43C",'Mapa final'!$R$128),"")</f>
        <v/>
      </c>
      <c r="L198" s="116" t="str">
        <f>IF(AND('Mapa final'!$AB$129="Baja",'Mapa final'!$AD$129="Leve"),CONCATENATE("R43C",'Mapa final'!$R$129),"")</f>
        <v/>
      </c>
      <c r="M198" s="49" t="str">
        <f>IF(AND('Mapa final'!$AB$127="Baja",'Mapa final'!$AD$127="Menor"),CONCATENATE("R43C",'Mapa final'!$R$127),"")</f>
        <v/>
      </c>
      <c r="N198" s="50" t="str">
        <f>IF(AND('Mapa final'!$AB$128="Baja",'Mapa final'!$AD$128="Menor"),CONCATENATE("R43C",'Mapa final'!$R$128),"")</f>
        <v/>
      </c>
      <c r="O198" s="111" t="str">
        <f>IF(AND('Mapa final'!$AB$129="Baja",'Mapa final'!$AD$129="Menor"),CONCATENATE("R43C",'Mapa final'!$R$129),"")</f>
        <v/>
      </c>
      <c r="P198" s="49" t="str">
        <f>IF(AND('Mapa final'!$AB$127="Baja",'Mapa final'!$AD$127="Moderado"),CONCATENATE("R43C",'Mapa final'!$R$127),"")</f>
        <v/>
      </c>
      <c r="Q198" s="50" t="str">
        <f>IF(AND('Mapa final'!$AB$128="Baja",'Mapa final'!$AD$128="Moderado"),CONCATENATE("R43C",'Mapa final'!$R$128),"")</f>
        <v/>
      </c>
      <c r="R198" s="111" t="str">
        <f>IF(AND('Mapa final'!$AB$129="Baja",'Mapa final'!$AD$129="Moderado"),CONCATENATE("R43C",'Mapa final'!$R$129),"")</f>
        <v/>
      </c>
      <c r="S198" s="105" t="str">
        <f>IF(AND('Mapa final'!$AB$127="Baja",'Mapa final'!$AD$127="Mayor"),CONCATENATE("R43C",'Mapa final'!$R$127),"")</f>
        <v/>
      </c>
      <c r="T198" s="42" t="str">
        <f>IF(AND('Mapa final'!$AB$128="Baja",'Mapa final'!$AD$128="Mayor"),CONCATENATE("R43C",'Mapa final'!$R$128),"")</f>
        <v>R43C2</v>
      </c>
      <c r="U198" s="106" t="str">
        <f>IF(AND('Mapa final'!$AB$129="Baja",'Mapa final'!$AD$129="Mayor"),CONCATENATE("R43C",'Mapa final'!$R$129),"")</f>
        <v/>
      </c>
      <c r="V198" s="43" t="str">
        <f>IF(AND('Mapa final'!$AB$127="Baja",'Mapa final'!$AD$127="Catastrófico"),CONCATENATE("R43C",'Mapa final'!$R$127),"")</f>
        <v/>
      </c>
      <c r="W198" s="44" t="str">
        <f>IF(AND('Mapa final'!$AB$128="Baja",'Mapa final'!$AD$128="Catastrófico"),CONCATENATE("R43C",'Mapa final'!$R$128),"")</f>
        <v/>
      </c>
      <c r="X198" s="100" t="str">
        <f>IF(AND('Mapa final'!$AB$129="Baja",'Mapa final'!$AD$129="Catastrófico"),CONCATENATE("R43C",'Mapa final'!$R$129),"")</f>
        <v/>
      </c>
      <c r="Y198" s="56"/>
      <c r="Z198" s="312"/>
      <c r="AA198" s="313"/>
      <c r="AB198" s="313"/>
      <c r="AC198" s="313"/>
      <c r="AD198" s="313"/>
      <c r="AE198" s="314"/>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row>
    <row r="199" spans="1:65" ht="15" customHeight="1" x14ac:dyDescent="0.35">
      <c r="A199" s="56"/>
      <c r="B199" s="307"/>
      <c r="C199" s="307"/>
      <c r="D199" s="308"/>
      <c r="E199" s="284"/>
      <c r="F199" s="297"/>
      <c r="G199" s="297"/>
      <c r="H199" s="297"/>
      <c r="I199" s="279"/>
      <c r="J199" s="115" t="str">
        <f>IF(AND('Mapa final'!$AB$130="Baja",'Mapa final'!$AD$130="Leve"),CONCATENATE("R44C",'Mapa final'!$R$130),"")</f>
        <v/>
      </c>
      <c r="K199" s="54" t="str">
        <f>IF(AND('Mapa final'!$AB$131="Baja",'Mapa final'!$AD$131="Leve"),CONCATENATE("R44C",'Mapa final'!$R$131),"")</f>
        <v/>
      </c>
      <c r="L199" s="116" t="str">
        <f>IF(AND('Mapa final'!$AB$132="Baja",'Mapa final'!$AD$132="Leve"),CONCATENATE("R44C",'Mapa final'!$R$132),"")</f>
        <v/>
      </c>
      <c r="M199" s="49" t="str">
        <f>IF(AND('Mapa final'!$AB$130="Baja",'Mapa final'!$AD$130="Menor"),CONCATENATE("R44C",'Mapa final'!$R$130),"")</f>
        <v/>
      </c>
      <c r="N199" s="50" t="str">
        <f>IF(AND('Mapa final'!$AB$131="Baja",'Mapa final'!$AD$131="Menor"),CONCATENATE("R44C",'Mapa final'!$R$131),"")</f>
        <v/>
      </c>
      <c r="O199" s="111" t="str">
        <f>IF(AND('Mapa final'!$AB$132="Baja",'Mapa final'!$AD$132="Menor"),CONCATENATE("R44C",'Mapa final'!$R$132),"")</f>
        <v/>
      </c>
      <c r="P199" s="49" t="str">
        <f>IF(AND('Mapa final'!$AB$130="Baja",'Mapa final'!$AD$130="Moderado"),CONCATENATE("R44C",'Mapa final'!$R$130),"")</f>
        <v/>
      </c>
      <c r="Q199" s="50" t="str">
        <f>IF(AND('Mapa final'!$AB$131="Baja",'Mapa final'!$AD$131="Moderado"),CONCATENATE("R44C",'Mapa final'!$R$131),"")</f>
        <v>R44C2</v>
      </c>
      <c r="R199" s="111" t="str">
        <f>IF(AND('Mapa final'!$AB$132="Baja",'Mapa final'!$AD$132="Moderado"),CONCATENATE("R44C",'Mapa final'!$R$132),"")</f>
        <v>R44C3</v>
      </c>
      <c r="S199" s="105" t="str">
        <f>IF(AND('Mapa final'!$AB$130="Baja",'Mapa final'!$AD$130="Mayor"),CONCATENATE("R44C",'Mapa final'!$R$130),"")</f>
        <v/>
      </c>
      <c r="T199" s="42" t="str">
        <f>IF(AND('Mapa final'!$AB$131="Baja",'Mapa final'!$AD$131="Mayor"),CONCATENATE("R44C",'Mapa final'!$R$131),"")</f>
        <v/>
      </c>
      <c r="U199" s="106" t="str">
        <f>IF(AND('Mapa final'!$AB$132="Baja",'Mapa final'!$AD$132="Mayor"),CONCATENATE("R44C",'Mapa final'!$R$132),"")</f>
        <v/>
      </c>
      <c r="V199" s="43" t="str">
        <f>IF(AND('Mapa final'!$AB$130="Baja",'Mapa final'!$AD$130="Catastrófico"),CONCATENATE("R44C",'Mapa final'!$R$130),"")</f>
        <v/>
      </c>
      <c r="W199" s="44" t="str">
        <f>IF(AND('Mapa final'!$AB$131="Baja",'Mapa final'!$AD$131="Catastrófico"),CONCATENATE("R44C",'Mapa final'!$R$131),"")</f>
        <v/>
      </c>
      <c r="X199" s="100" t="str">
        <f>IF(AND('Mapa final'!$AB$132="Baja",'Mapa final'!$AD$132="Catastrófico"),CONCATENATE("R44C",'Mapa final'!$R$132),"")</f>
        <v/>
      </c>
      <c r="Y199" s="56"/>
      <c r="Z199" s="312"/>
      <c r="AA199" s="313"/>
      <c r="AB199" s="313"/>
      <c r="AC199" s="313"/>
      <c r="AD199" s="313"/>
      <c r="AE199" s="314"/>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row>
    <row r="200" spans="1:65" ht="15" customHeight="1" x14ac:dyDescent="0.35">
      <c r="A200" s="56"/>
      <c r="B200" s="307"/>
      <c r="C200" s="307"/>
      <c r="D200" s="308"/>
      <c r="E200" s="284"/>
      <c r="F200" s="297"/>
      <c r="G200" s="297"/>
      <c r="H200" s="297"/>
      <c r="I200" s="279"/>
      <c r="J200" s="115" t="str">
        <f>IF(AND('Mapa final'!$AB$133="Baja",'Mapa final'!$AD$133="Leve"),CONCATENATE("R45C",'Mapa final'!$R$133),"")</f>
        <v/>
      </c>
      <c r="K200" s="54" t="str">
        <f>IF(AND('Mapa final'!$AB$134="Baja",'Mapa final'!$AD$134="Leve"),CONCATENATE("R45C",'Mapa final'!$R$134),"")</f>
        <v/>
      </c>
      <c r="L200" s="116" t="str">
        <f>IF(AND('Mapa final'!$AB$135="Baja",'Mapa final'!$AD$135="Leve"),CONCATENATE("R45C",'Mapa final'!$R$135),"")</f>
        <v/>
      </c>
      <c r="M200" s="49" t="str">
        <f>IF(AND('Mapa final'!$AB$133="Baja",'Mapa final'!$AD$133="Menor"),CONCATENATE("R45C",'Mapa final'!$R$133),"")</f>
        <v/>
      </c>
      <c r="N200" s="50" t="str">
        <f>IF(AND('Mapa final'!$AB$134="Baja",'Mapa final'!$AD$134="Menor"),CONCATENATE("R45C",'Mapa final'!$R$134),"")</f>
        <v/>
      </c>
      <c r="O200" s="111" t="str">
        <f>IF(AND('Mapa final'!$AB$135="Baja",'Mapa final'!$AD$135="Menor"),CONCATENATE("R45C",'Mapa final'!$R$135),"")</f>
        <v/>
      </c>
      <c r="P200" s="49" t="str">
        <f>IF(AND('Mapa final'!$AB$133="Baja",'Mapa final'!$AD$133="Moderado"),CONCATENATE("R45C",'Mapa final'!$R$133),"")</f>
        <v/>
      </c>
      <c r="Q200" s="50" t="str">
        <f>IF(AND('Mapa final'!$AB$134="Baja",'Mapa final'!$AD$134="Moderado"),CONCATENATE("R45C",'Mapa final'!$R$134),"")</f>
        <v/>
      </c>
      <c r="R200" s="111" t="str">
        <f>IF(AND('Mapa final'!$AB$135="Baja",'Mapa final'!$AD$135="Moderado"),CONCATENATE("R45C",'Mapa final'!$R$135),"")</f>
        <v/>
      </c>
      <c r="S200" s="105" t="str">
        <f>IF(AND('Mapa final'!$AB$133="Baja",'Mapa final'!$AD$133="Mayor"),CONCATENATE("R45C",'Mapa final'!$R$133),"")</f>
        <v/>
      </c>
      <c r="T200" s="42" t="str">
        <f>IF(AND('Mapa final'!$AB$134="Baja",'Mapa final'!$AD$134="Mayor"),CONCATENATE("R45C",'Mapa final'!$R$134),"")</f>
        <v/>
      </c>
      <c r="U200" s="106" t="str">
        <f>IF(AND('Mapa final'!$AB$135="Baja",'Mapa final'!$AD$135="Mayor"),CONCATENATE("R45C",'Mapa final'!$R$135),"")</f>
        <v/>
      </c>
      <c r="V200" s="43" t="str">
        <f>IF(AND('Mapa final'!$AB$133="Baja",'Mapa final'!$AD$133="Catastrófico"),CONCATENATE("R45C",'Mapa final'!$R$133),"")</f>
        <v/>
      </c>
      <c r="W200" s="44" t="str">
        <f>IF(AND('Mapa final'!$AB$134="Baja",'Mapa final'!$AD$134="Catastrófico"),CONCATENATE("R45C",'Mapa final'!$R$134),"")</f>
        <v/>
      </c>
      <c r="X200" s="100" t="str">
        <f>IF(AND('Mapa final'!$AB$135="Baja",'Mapa final'!$AD$135="Catastrófico"),CONCATENATE("R45C",'Mapa final'!$R$135),"")</f>
        <v/>
      </c>
      <c r="Y200" s="56"/>
      <c r="Z200" s="312"/>
      <c r="AA200" s="313"/>
      <c r="AB200" s="313"/>
      <c r="AC200" s="313"/>
      <c r="AD200" s="313"/>
      <c r="AE200" s="314"/>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row>
    <row r="201" spans="1:65" ht="15" customHeight="1" x14ac:dyDescent="0.35">
      <c r="A201" s="56"/>
      <c r="B201" s="307"/>
      <c r="C201" s="307"/>
      <c r="D201" s="308"/>
      <c r="E201" s="284"/>
      <c r="F201" s="297"/>
      <c r="G201" s="297"/>
      <c r="H201" s="297"/>
      <c r="I201" s="279"/>
      <c r="J201" s="115" t="str">
        <f>IF(AND('Mapa final'!$AB$136="Baja",'Mapa final'!$AD$136="Leve"),CONCATENATE("R46C",'Mapa final'!$R$136),"")</f>
        <v/>
      </c>
      <c r="K201" s="54" t="str">
        <f>IF(AND('Mapa final'!$AB$137="Baja",'Mapa final'!$AD$137="Leve"),CONCATENATE("R46C",'Mapa final'!$R$137),"")</f>
        <v/>
      </c>
      <c r="L201" s="116" t="str">
        <f>IF(AND('Mapa final'!$AB$138="Baja",'Mapa final'!$AD$138="Leve"),CONCATENATE("R46C",'Mapa final'!$R$138),"")</f>
        <v/>
      </c>
      <c r="M201" s="49" t="str">
        <f>IF(AND('Mapa final'!$AB$136="Baja",'Mapa final'!$AD$136="Menor"),CONCATENATE("R46C",'Mapa final'!$R$136),"")</f>
        <v/>
      </c>
      <c r="N201" s="50" t="str">
        <f>IF(AND('Mapa final'!$AB$137="Baja",'Mapa final'!$AD$137="Menor"),CONCATENATE("R46C",'Mapa final'!$R$137),"")</f>
        <v/>
      </c>
      <c r="O201" s="111" t="str">
        <f>IF(AND('Mapa final'!$AB$138="Baja",'Mapa final'!$AD$138="Menor"),CONCATENATE("R46C",'Mapa final'!$R$138),"")</f>
        <v/>
      </c>
      <c r="P201" s="49" t="str">
        <f>IF(AND('Mapa final'!$AB$136="Baja",'Mapa final'!$AD$136="Moderado"),CONCATENATE("R46C",'Mapa final'!$R$136),"")</f>
        <v/>
      </c>
      <c r="Q201" s="50" t="str">
        <f>IF(AND('Mapa final'!$AB$137="Baja",'Mapa final'!$AD$137="Moderado"),CONCATENATE("R46C",'Mapa final'!$R$137),"")</f>
        <v/>
      </c>
      <c r="R201" s="111" t="str">
        <f>IF(AND('Mapa final'!$AB$138="Baja",'Mapa final'!$AD$138="Moderado"),CONCATENATE("R46C",'Mapa final'!$R$138),"")</f>
        <v/>
      </c>
      <c r="S201" s="105" t="str">
        <f>IF(AND('Mapa final'!$AB$136="Baja",'Mapa final'!$AD$136="Mayor"),CONCATENATE("R46C",'Mapa final'!$R$136),"")</f>
        <v>R46C1</v>
      </c>
      <c r="T201" s="42" t="str">
        <f>IF(AND('Mapa final'!$AB$137="Baja",'Mapa final'!$AD$137="Mayor"),CONCATENATE("R46C",'Mapa final'!$R$137),"")</f>
        <v/>
      </c>
      <c r="U201" s="106" t="str">
        <f>IF(AND('Mapa final'!$AB$138="Baja",'Mapa final'!$AD$138="Mayor"),CONCATENATE("R46C",'Mapa final'!$R$138),"")</f>
        <v/>
      </c>
      <c r="V201" s="43" t="str">
        <f>IF(AND('Mapa final'!$AB$136="Baja",'Mapa final'!$AD$136="Catastrófico"),CONCATENATE("R46C",'Mapa final'!$R$136),"")</f>
        <v/>
      </c>
      <c r="W201" s="44" t="str">
        <f>IF(AND('Mapa final'!$AB$137="Baja",'Mapa final'!$AD$137="Catastrófico"),CONCATENATE("R46C",'Mapa final'!$R$137),"")</f>
        <v/>
      </c>
      <c r="X201" s="100" t="str">
        <f>IF(AND('Mapa final'!$AB$138="Baja",'Mapa final'!$AD$138="Catastrófico"),CONCATENATE("R46C",'Mapa final'!$R$138),"")</f>
        <v/>
      </c>
      <c r="Y201" s="56"/>
      <c r="Z201" s="312"/>
      <c r="AA201" s="313"/>
      <c r="AB201" s="313"/>
      <c r="AC201" s="313"/>
      <c r="AD201" s="313"/>
      <c r="AE201" s="314"/>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row>
    <row r="202" spans="1:65" ht="15" customHeight="1" x14ac:dyDescent="0.35">
      <c r="A202" s="56"/>
      <c r="B202" s="307"/>
      <c r="C202" s="307"/>
      <c r="D202" s="308"/>
      <c r="E202" s="284"/>
      <c r="F202" s="297"/>
      <c r="G202" s="297"/>
      <c r="H202" s="297"/>
      <c r="I202" s="279"/>
      <c r="J202" s="115" t="str">
        <f>IF(AND('Mapa final'!$AB$139="Baja",'Mapa final'!$AD$139="Leve"),CONCATENATE("R47C",'Mapa final'!$R$139),"")</f>
        <v/>
      </c>
      <c r="K202" s="54" t="str">
        <f>IF(AND('Mapa final'!$AB$140="Baja",'Mapa final'!$AD$140="Leve"),CONCATENATE("R47C",'Mapa final'!$R$140),"")</f>
        <v/>
      </c>
      <c r="L202" s="116" t="str">
        <f>IF(AND('Mapa final'!$AB$141="Baja",'Mapa final'!$AD$141="Leve"),CONCATENATE("R47C",'Mapa final'!$R$141),"")</f>
        <v/>
      </c>
      <c r="M202" s="49" t="str">
        <f>IF(AND('Mapa final'!$AB$139="Baja",'Mapa final'!$AD$139="Menor"),CONCATENATE("R47C",'Mapa final'!$R$139),"")</f>
        <v/>
      </c>
      <c r="N202" s="50" t="str">
        <f>IF(AND('Mapa final'!$AB$140="Baja",'Mapa final'!$AD$140="Menor"),CONCATENATE("R47C",'Mapa final'!$R$140),"")</f>
        <v/>
      </c>
      <c r="O202" s="111" t="str">
        <f>IF(AND('Mapa final'!$AB$141="Baja",'Mapa final'!$AD$141="Menor"),CONCATENATE("R47C",'Mapa final'!$R$141),"")</f>
        <v/>
      </c>
      <c r="P202" s="49" t="str">
        <f>IF(AND('Mapa final'!$AB$139="Baja",'Mapa final'!$AD$139="Moderado"),CONCATENATE("R47C",'Mapa final'!$R$139),"")</f>
        <v>R47C1</v>
      </c>
      <c r="Q202" s="50" t="str">
        <f>IF(AND('Mapa final'!$AB$140="Baja",'Mapa final'!$AD$140="Moderado"),CONCATENATE("R47C",'Mapa final'!$R$140),"")</f>
        <v/>
      </c>
      <c r="R202" s="111" t="str">
        <f>IF(AND('Mapa final'!$AB$141="Baja",'Mapa final'!$AD$141="Moderado"),CONCATENATE("R47C",'Mapa final'!$R$141),"")</f>
        <v/>
      </c>
      <c r="S202" s="105" t="str">
        <f>IF(AND('Mapa final'!$AB$139="Baja",'Mapa final'!$AD$139="Mayor"),CONCATENATE("R47C",'Mapa final'!$R$139),"")</f>
        <v/>
      </c>
      <c r="T202" s="42" t="str">
        <f>IF(AND('Mapa final'!$AB$140="Baja",'Mapa final'!$AD$140="Mayor"),CONCATENATE("R47C",'Mapa final'!$R$140),"")</f>
        <v/>
      </c>
      <c r="U202" s="106" t="str">
        <f>IF(AND('Mapa final'!$AB$141="Baja",'Mapa final'!$AD$141="Mayor"),CONCATENATE("R47C",'Mapa final'!$R$141),"")</f>
        <v/>
      </c>
      <c r="V202" s="43" t="str">
        <f>IF(AND('Mapa final'!$AB$139="Baja",'Mapa final'!$AD$139="Catastrófico"),CONCATENATE("R47C",'Mapa final'!$R$139),"")</f>
        <v/>
      </c>
      <c r="W202" s="44" t="str">
        <f>IF(AND('Mapa final'!$AB$140="Baja",'Mapa final'!$AD$140="Catastrófico"),CONCATENATE("R47C",'Mapa final'!$R$140),"")</f>
        <v/>
      </c>
      <c r="X202" s="100" t="str">
        <f>IF(AND('Mapa final'!$AB$141="Baja",'Mapa final'!$AD$141="Catastrófico"),CONCATENATE("R47C",'Mapa final'!$R$141),"")</f>
        <v/>
      </c>
      <c r="Y202" s="56"/>
      <c r="Z202" s="312"/>
      <c r="AA202" s="313"/>
      <c r="AB202" s="313"/>
      <c r="AC202" s="313"/>
      <c r="AD202" s="313"/>
      <c r="AE202" s="314"/>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row>
    <row r="203" spans="1:65" ht="15" customHeight="1" x14ac:dyDescent="0.35">
      <c r="A203" s="56"/>
      <c r="B203" s="307"/>
      <c r="C203" s="307"/>
      <c r="D203" s="308"/>
      <c r="E203" s="284"/>
      <c r="F203" s="297"/>
      <c r="G203" s="297"/>
      <c r="H203" s="297"/>
      <c r="I203" s="279"/>
      <c r="J203" s="115" t="str">
        <f>IF(AND('Mapa final'!$AB$142="Baja",'Mapa final'!$AD$142="Leve"),CONCATENATE("R48C",'Mapa final'!$R$142),"")</f>
        <v/>
      </c>
      <c r="K203" s="54" t="str">
        <f>IF(AND('Mapa final'!$AB$143="Baja",'Mapa final'!$AD$143="Leve"),CONCATENATE("R48C",'Mapa final'!$R$143),"")</f>
        <v/>
      </c>
      <c r="L203" s="116" t="str">
        <f>IF(AND('Mapa final'!$AB$144="Baja",'Mapa final'!$AD$144="Leve"),CONCATENATE("R48C",'Mapa final'!$R$144),"")</f>
        <v/>
      </c>
      <c r="M203" s="49" t="str">
        <f>IF(AND('Mapa final'!$AB$142="Baja",'Mapa final'!$AD$142="Menor"),CONCATENATE("R48C",'Mapa final'!$R$142),"")</f>
        <v/>
      </c>
      <c r="N203" s="50" t="str">
        <f>IF(AND('Mapa final'!$AB$143="Baja",'Mapa final'!$AD$143="Menor"),CONCATENATE("R48C",'Mapa final'!$R$143),"")</f>
        <v/>
      </c>
      <c r="O203" s="111" t="str">
        <f>IF(AND('Mapa final'!$AB$144="Baja",'Mapa final'!$AD$144="Menor"),CONCATENATE("R48C",'Mapa final'!$R$144),"")</f>
        <v/>
      </c>
      <c r="P203" s="49" t="str">
        <f>IF(AND('Mapa final'!$AB$142="Baja",'Mapa final'!$AD$142="Moderado"),CONCATENATE("R48C",'Mapa final'!$R$142),"")</f>
        <v/>
      </c>
      <c r="Q203" s="50" t="str">
        <f>IF(AND('Mapa final'!$AB$143="Baja",'Mapa final'!$AD$143="Moderado"),CONCATENATE("R48C",'Mapa final'!$R$143),"")</f>
        <v/>
      </c>
      <c r="R203" s="111" t="str">
        <f>IF(AND('Mapa final'!$AB$144="Baja",'Mapa final'!$AD$144="Moderado"),CONCATENATE("R48C",'Mapa final'!$R$144),"")</f>
        <v/>
      </c>
      <c r="S203" s="105" t="str">
        <f>IF(AND('Mapa final'!$AB$142="Baja",'Mapa final'!$AD$142="Mayor"),CONCATENATE("R48C",'Mapa final'!$R$142),"")</f>
        <v/>
      </c>
      <c r="T203" s="42" t="str">
        <f>IF(AND('Mapa final'!$AB$143="Baja",'Mapa final'!$AD$143="Mayor"),CONCATENATE("R48C",'Mapa final'!$R$143),"")</f>
        <v/>
      </c>
      <c r="U203" s="106" t="str">
        <f>IF(AND('Mapa final'!$AB$144="Baja",'Mapa final'!$AD$144="Mayor"),CONCATENATE("R48C",'Mapa final'!$R$144),"")</f>
        <v/>
      </c>
      <c r="V203" s="43" t="str">
        <f>IF(AND('Mapa final'!$AB$142="Baja",'Mapa final'!$AD$142="Catastrófico"),CONCATENATE("R48C",'Mapa final'!$R$142),"")</f>
        <v/>
      </c>
      <c r="W203" s="44" t="str">
        <f>IF(AND('Mapa final'!$AB$143="Baja",'Mapa final'!$AD$143="Catastrófico"),CONCATENATE("R48C",'Mapa final'!$R$143),"")</f>
        <v/>
      </c>
      <c r="X203" s="100" t="str">
        <f>IF(AND('Mapa final'!$AB$144="Baja",'Mapa final'!$AD$144="Catastrófico"),CONCATENATE("R48C",'Mapa final'!$R$144),"")</f>
        <v/>
      </c>
      <c r="Y203" s="56"/>
      <c r="Z203" s="312"/>
      <c r="AA203" s="313"/>
      <c r="AB203" s="313"/>
      <c r="AC203" s="313"/>
      <c r="AD203" s="313"/>
      <c r="AE203" s="314"/>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row>
    <row r="204" spans="1:65" ht="15" customHeight="1" x14ac:dyDescent="0.35">
      <c r="A204" s="56"/>
      <c r="B204" s="307"/>
      <c r="C204" s="307"/>
      <c r="D204" s="308"/>
      <c r="E204" s="284"/>
      <c r="F204" s="297"/>
      <c r="G204" s="297"/>
      <c r="H204" s="297"/>
      <c r="I204" s="279"/>
      <c r="J204" s="115" t="str">
        <f>IF(AND('Mapa final'!$AB$145="Baja",'Mapa final'!$AD$145="Leve"),CONCATENATE("R49C",'Mapa final'!$R$145),"")</f>
        <v/>
      </c>
      <c r="K204" s="54" t="str">
        <f>IF(AND('Mapa final'!$AB$146="Baja",'Mapa final'!$AD$146="Leve"),CONCATENATE("R49C",'Mapa final'!$R$146),"")</f>
        <v/>
      </c>
      <c r="L204" s="116" t="str">
        <f>IF(AND('Mapa final'!$AB$147="Baja",'Mapa final'!$AD$147="Leve"),CONCATENATE("R49C",'Mapa final'!$R$147),"")</f>
        <v/>
      </c>
      <c r="M204" s="49" t="str">
        <f>IF(AND('Mapa final'!$AB$145="Baja",'Mapa final'!$AD$145="Menor"),CONCATENATE("R49C",'Mapa final'!$R$145),"")</f>
        <v/>
      </c>
      <c r="N204" s="50" t="str">
        <f>IF(AND('Mapa final'!$AB$146="Baja",'Mapa final'!$AD$146="Menor"),CONCATENATE("R49C",'Mapa final'!$R$146),"")</f>
        <v/>
      </c>
      <c r="O204" s="111" t="str">
        <f>IF(AND('Mapa final'!$AB$147="Baja",'Mapa final'!$AD$147="Menor"),CONCATENATE("R49C",'Mapa final'!$R$147),"")</f>
        <v/>
      </c>
      <c r="P204" s="49" t="str">
        <f>IF(AND('Mapa final'!$AB$145="Baja",'Mapa final'!$AD$145="Moderado"),CONCATENATE("R49C",'Mapa final'!$R$145),"")</f>
        <v/>
      </c>
      <c r="Q204" s="50" t="str">
        <f>IF(AND('Mapa final'!$AB$146="Baja",'Mapa final'!$AD$146="Moderado"),CONCATENATE("R49C",'Mapa final'!$R$146),"")</f>
        <v/>
      </c>
      <c r="R204" s="111" t="str">
        <f>IF(AND('Mapa final'!$AB$147="Baja",'Mapa final'!$AD$147="Moderado"),CONCATENATE("R49C",'Mapa final'!$R$147),"")</f>
        <v/>
      </c>
      <c r="S204" s="105" t="str">
        <f>IF(AND('Mapa final'!$AB$145="Baja",'Mapa final'!$AD$145="Mayor"),CONCATENATE("R49C",'Mapa final'!$R$145),"")</f>
        <v/>
      </c>
      <c r="T204" s="42" t="str">
        <f>IF(AND('Mapa final'!$AB$146="Baja",'Mapa final'!$AD$146="Mayor"),CONCATENATE("R49C",'Mapa final'!$R$146),"")</f>
        <v/>
      </c>
      <c r="U204" s="106" t="str">
        <f>IF(AND('Mapa final'!$AB$147="Baja",'Mapa final'!$AD$147="Mayor"),CONCATENATE("R49C",'Mapa final'!$R$147),"")</f>
        <v/>
      </c>
      <c r="V204" s="43" t="str">
        <f>IF(AND('Mapa final'!$AB$145="Baja",'Mapa final'!$AD$145="Catastrófico"),CONCATENATE("R49C",'Mapa final'!$R$145),"")</f>
        <v/>
      </c>
      <c r="W204" s="44" t="str">
        <f>IF(AND('Mapa final'!$AB$146="Baja",'Mapa final'!$AD$146="Catastrófico"),CONCATENATE("R49C",'Mapa final'!$R$146),"")</f>
        <v/>
      </c>
      <c r="X204" s="100" t="str">
        <f>IF(AND('Mapa final'!$AB$147="Baja",'Mapa final'!$AD$147="Catastrófico"),CONCATENATE("R49C",'Mapa final'!$R$147),"")</f>
        <v/>
      </c>
      <c r="Y204" s="56"/>
      <c r="Z204" s="312"/>
      <c r="AA204" s="313"/>
      <c r="AB204" s="313"/>
      <c r="AC204" s="313"/>
      <c r="AD204" s="313"/>
      <c r="AE204" s="314"/>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row>
    <row r="205" spans="1:65" ht="15" customHeight="1" thickBot="1" x14ac:dyDescent="0.4">
      <c r="A205" s="56"/>
      <c r="B205" s="307"/>
      <c r="C205" s="307"/>
      <c r="D205" s="308"/>
      <c r="E205" s="284"/>
      <c r="F205" s="297"/>
      <c r="G205" s="297"/>
      <c r="H205" s="297"/>
      <c r="I205" s="279"/>
      <c r="J205" s="117" t="str">
        <f>IF(AND('Mapa final'!$AB$148="Baja",'Mapa final'!$AD$148="Leve"),CONCATENATE("R50C",'Mapa final'!$R$148),"")</f>
        <v/>
      </c>
      <c r="K205" s="55" t="str">
        <f>IF(AND('Mapa final'!$AB$149="Baja",'Mapa final'!$AD$149="Leve"),CONCATENATE("R50C",'Mapa final'!$R$149),"")</f>
        <v/>
      </c>
      <c r="L205" s="118" t="str">
        <f>IF(AND('Mapa final'!$AB$150="Baja",'Mapa final'!$AD$150="Leve"),CONCATENATE("R50C",'Mapa final'!$R$150),"")</f>
        <v/>
      </c>
      <c r="M205" s="51" t="str">
        <f>IF(AND('Mapa final'!$AB$148="Baja",'Mapa final'!$AD$148="Menor"),CONCATENATE("R50C",'Mapa final'!$R$148),"")</f>
        <v/>
      </c>
      <c r="N205" s="52" t="str">
        <f>IF(AND('Mapa final'!$AB$149="Baja",'Mapa final'!$AD$149="Menor"),CONCATENATE("R50C",'Mapa final'!$R$149),"")</f>
        <v/>
      </c>
      <c r="O205" s="112" t="str">
        <f>IF(AND('Mapa final'!$AB$150="Baja",'Mapa final'!$AD$150="Menor"),CONCATENATE("R50C",'Mapa final'!$R$150),"")</f>
        <v/>
      </c>
      <c r="P205" s="51" t="str">
        <f>IF(AND('Mapa final'!$AB$148="Baja",'Mapa final'!$AD$148="Moderado"),CONCATENATE("R50C",'Mapa final'!$R$148),"")</f>
        <v/>
      </c>
      <c r="Q205" s="52" t="str">
        <f>IF(AND('Mapa final'!$AB$149="Baja",'Mapa final'!$AD$149="Moderado"),CONCATENATE("R50C",'Mapa final'!$R$149),"")</f>
        <v/>
      </c>
      <c r="R205" s="112" t="str">
        <f>IF(AND('Mapa final'!$AB$150="Baja",'Mapa final'!$AD$150="Moderado"),CONCATENATE("R50C",'Mapa final'!$R$150),"")</f>
        <v/>
      </c>
      <c r="S205" s="107" t="str">
        <f>IF(AND('Mapa final'!$AB$148="Baja",'Mapa final'!$AD$148="Mayor"),CONCATENATE("R50C",'Mapa final'!$R$148),"")</f>
        <v/>
      </c>
      <c r="T205" s="108" t="str">
        <f>IF(AND('Mapa final'!$AB$149="Baja",'Mapa final'!$AD$149="Mayor"),CONCATENATE("R50C",'Mapa final'!$R$149),"")</f>
        <v/>
      </c>
      <c r="U205" s="109" t="str">
        <f>IF(AND('Mapa final'!$AB$150="Baja",'Mapa final'!$AD$150="Mayor"),CONCATENATE("R50C",'Mapa final'!$R$150),"")</f>
        <v/>
      </c>
      <c r="V205" s="45" t="str">
        <f>IF(AND('Mapa final'!$AB$148="Baja",'Mapa final'!$AD$148="Catastrófico"),CONCATENATE("R50C",'Mapa final'!$R$148),"")</f>
        <v/>
      </c>
      <c r="W205" s="46" t="str">
        <f>IF(AND('Mapa final'!$AB$149="Baja",'Mapa final'!$AD$149="Catastrófico"),CONCATENATE("R50C",'Mapa final'!$R$149),"")</f>
        <v/>
      </c>
      <c r="X205" s="101" t="str">
        <f>IF(AND('Mapa final'!$AB$150="Baja",'Mapa final'!$AD$150="Catastrófico"),CONCATENATE("R50C",'Mapa final'!$R$150),"")</f>
        <v/>
      </c>
      <c r="Y205" s="56"/>
      <c r="Z205" s="312"/>
      <c r="AA205" s="313"/>
      <c r="AB205" s="313"/>
      <c r="AC205" s="313"/>
      <c r="AD205" s="313"/>
      <c r="AE205" s="314"/>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row>
    <row r="206" spans="1:65" ht="16.5" customHeight="1" x14ac:dyDescent="0.35">
      <c r="A206" s="56"/>
      <c r="B206" s="307"/>
      <c r="C206" s="307"/>
      <c r="D206" s="308"/>
      <c r="E206" s="295" t="s">
        <v>104</v>
      </c>
      <c r="F206" s="296"/>
      <c r="G206" s="296"/>
      <c r="H206" s="296"/>
      <c r="I206" s="296"/>
      <c r="J206" s="113" t="str">
        <f>IF(AND('Mapa final'!$AB$7="Muy Baja",'Mapa final'!$AD$7="Leve"),CONCATENATE("R1C",'Mapa final'!$R$7),"")</f>
        <v/>
      </c>
      <c r="K206" s="53" t="str">
        <f>IF(AND('Mapa final'!$AB$8="Muy Baja",'Mapa final'!$AD$8="Leve"),CONCATENATE("R1C",'Mapa final'!$R$8),"")</f>
        <v/>
      </c>
      <c r="L206" s="114" t="str">
        <f>IF(AND('Mapa final'!$AB$9="Muy Baja",'Mapa final'!$AD$9="Leve"),CONCATENATE("R1C",'Mapa final'!$R$9),"")</f>
        <v/>
      </c>
      <c r="M206" s="113" t="str">
        <f>IF(AND('Mapa final'!$AB$7="Muy Baja",'Mapa final'!$AD$7="Menor"),CONCATENATE("R1C",'Mapa final'!$R$7),"")</f>
        <v/>
      </c>
      <c r="N206" s="53" t="str">
        <f>IF(AND('Mapa final'!$AB$8="Muy Baja",'Mapa final'!$AD$8="Menor"),CONCATENATE("R1C",'Mapa final'!$R$8),"")</f>
        <v/>
      </c>
      <c r="O206" s="114" t="str">
        <f>IF(AND('Mapa final'!$AB$9="Muy Baja",'Mapa final'!$AD$9="Menor"),CONCATENATE("R1C",'Mapa final'!$R$9),"")</f>
        <v/>
      </c>
      <c r="P206" s="47" t="str">
        <f>IF(AND('Mapa final'!$AB$7="Muy Baja",'Mapa final'!$AD$7="Moderado"),CONCATENATE("R1C",'Mapa final'!$R$7),"")</f>
        <v/>
      </c>
      <c r="Q206" s="48" t="str">
        <f>IF(AND('Mapa final'!$AB$8="Muy Baja",'Mapa final'!$AD$8="Moderado"),CONCATENATE("R1C",'Mapa final'!$R$8),"")</f>
        <v/>
      </c>
      <c r="R206" s="110" t="str">
        <f>IF(AND('Mapa final'!$AB$9="Muy Baja",'Mapa final'!$AD$9="Moderado"),CONCATENATE("R1C",'Mapa final'!$R$9),"")</f>
        <v/>
      </c>
      <c r="S206" s="102" t="str">
        <f>IF(AND('Mapa final'!$AB$7="Muy Baja",'Mapa final'!$AD$7="Mayor"),CONCATENATE("R1C",'Mapa final'!$R$7),"")</f>
        <v/>
      </c>
      <c r="T206" s="103" t="str">
        <f>IF(AND('Mapa final'!$AB$8="Muy Baja",'Mapa final'!$AD$8="Mayor"),CONCATENATE("R1C",'Mapa final'!$R$8),"")</f>
        <v/>
      </c>
      <c r="U206" s="104" t="str">
        <f>IF(AND('Mapa final'!$AB$9="Muy Baja",'Mapa final'!$AD$9="Mayor"),CONCATENATE("R1C",'Mapa final'!$R$9),"")</f>
        <v/>
      </c>
      <c r="V206" s="40" t="str">
        <f>IF(AND('Mapa final'!$AB$7="Muy Baja",'Mapa final'!$AD$7="Catastrófico"),CONCATENATE("R1C",'Mapa final'!$R$7),"")</f>
        <v/>
      </c>
      <c r="W206" s="41" t="str">
        <f>IF(AND('Mapa final'!$AB$8="Muy Baja",'Mapa final'!$AD$8="Catastrófico"),CONCATENATE("R1C",'Mapa final'!$R$8),"")</f>
        <v/>
      </c>
      <c r="X206" s="99" t="str">
        <f>IF(AND('Mapa final'!$AB$9="Muy Baja",'Mapa final'!$AD$9="Catastrófico"),CONCATENATE("R1C",'Mapa final'!$R$9),"")</f>
        <v/>
      </c>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row>
    <row r="207" spans="1:65" ht="15.5" x14ac:dyDescent="0.35">
      <c r="A207" s="56"/>
      <c r="B207" s="307"/>
      <c r="C207" s="307"/>
      <c r="D207" s="308"/>
      <c r="E207" s="283"/>
      <c r="F207" s="279"/>
      <c r="G207" s="279"/>
      <c r="H207" s="279"/>
      <c r="I207" s="279"/>
      <c r="J207" s="115" t="str">
        <f>IF(AND('Mapa final'!$AB$10="Muy Baja",'Mapa final'!$AD$10="Leve"),CONCATENATE("R2C",'Mapa final'!$R$10),"")</f>
        <v/>
      </c>
      <c r="K207" s="54" t="str">
        <f>IF(AND('Mapa final'!$AB$11="Muy Baja",'Mapa final'!$AD$11="Leve"),CONCATENATE("R2C",'Mapa final'!$R$11),"")</f>
        <v/>
      </c>
      <c r="L207" s="116" t="str">
        <f>IF(AND('Mapa final'!$AB$12="Muy Baja",'Mapa final'!$AD$12="Leve"),CONCATENATE("R2C",'Mapa final'!$R$12),"")</f>
        <v/>
      </c>
      <c r="M207" s="115" t="str">
        <f>IF(AND('Mapa final'!$AB$10="Muy Baja",'Mapa final'!$AD$10="Menor"),CONCATENATE("R2C",'Mapa final'!$R$10),"")</f>
        <v/>
      </c>
      <c r="N207" s="54" t="str">
        <f>IF(AND('Mapa final'!$AB$11="Muy Baja",'Mapa final'!$AD$11="Menor"),CONCATENATE("R2C",'Mapa final'!$R$11),"")</f>
        <v/>
      </c>
      <c r="O207" s="116" t="str">
        <f>IF(AND('Mapa final'!$AB$12="Muy Baja",'Mapa final'!$AD$12="Menor"),CONCATENATE("R2C",'Mapa final'!$R$12),"")</f>
        <v/>
      </c>
      <c r="P207" s="49" t="str">
        <f>IF(AND('Mapa final'!$AB$10="Muy Baja",'Mapa final'!$AD$10="Moderado"),CONCATENATE("R2C",'Mapa final'!$R$10),"")</f>
        <v/>
      </c>
      <c r="Q207" s="50" t="str">
        <f>IF(AND('Mapa final'!$AB$11="Muy Baja",'Mapa final'!$AD$11="Moderado"),CONCATENATE("R2C",'Mapa final'!$R$11),"")</f>
        <v/>
      </c>
      <c r="R207" s="111" t="str">
        <f>IF(AND('Mapa final'!$AB$12="Muy Baja",'Mapa final'!$AD$12="Moderado"),CONCATENATE("R2C",'Mapa final'!$R$12),"")</f>
        <v/>
      </c>
      <c r="S207" s="105" t="str">
        <f>IF(AND('Mapa final'!$AB$10="Muy Baja",'Mapa final'!$AD$10="Mayor"),CONCATENATE("R2C",'Mapa final'!$R$10),"")</f>
        <v/>
      </c>
      <c r="T207" s="42" t="str">
        <f>IF(AND('Mapa final'!$AB$11="Muy Baja",'Mapa final'!$AD$11="Mayor"),CONCATENATE("R2C",'Mapa final'!$R$11),"")</f>
        <v/>
      </c>
      <c r="U207" s="106" t="str">
        <f>IF(AND('Mapa final'!$AB$12="Muy Baja",'Mapa final'!$AD$12="Mayor"),CONCATENATE("R2C",'Mapa final'!$R$12),"")</f>
        <v/>
      </c>
      <c r="V207" s="43" t="str">
        <f>IF(AND('Mapa final'!$AB$10="Muy Baja",'Mapa final'!$AD$10="Catastrófico"),CONCATENATE("R2C",'Mapa final'!$R$10),"")</f>
        <v/>
      </c>
      <c r="W207" s="44" t="str">
        <f>IF(AND('Mapa final'!$AB$11="Muy Baja",'Mapa final'!$AD$11="Catastrófico"),CONCATENATE("R2C",'Mapa final'!$R$11),"")</f>
        <v/>
      </c>
      <c r="X207" s="100" t="str">
        <f>IF(AND('Mapa final'!$AB$12="Muy Baja",'Mapa final'!$AD$12="Catastrófico"),CONCATENATE("R2C",'Mapa final'!$R$12),"")</f>
        <v/>
      </c>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row>
    <row r="208" spans="1:65" ht="15.5" x14ac:dyDescent="0.35">
      <c r="A208" s="56"/>
      <c r="B208" s="307"/>
      <c r="C208" s="307"/>
      <c r="D208" s="308"/>
      <c r="E208" s="283"/>
      <c r="F208" s="279"/>
      <c r="G208" s="279"/>
      <c r="H208" s="279"/>
      <c r="I208" s="279"/>
      <c r="J208" s="115" t="str">
        <f>IF(AND('Mapa final'!$AB$13="Muy Baja",'Mapa final'!$AD$13="Leve"),CONCATENATE("R3C",'Mapa final'!$R$13),"")</f>
        <v/>
      </c>
      <c r="K208" s="54" t="str">
        <f>IF(AND('Mapa final'!$AB$14="Muy Baja",'Mapa final'!$AD$14="Leve"),CONCATENATE("R3C",'Mapa final'!$R$14),"")</f>
        <v/>
      </c>
      <c r="L208" s="116" t="str">
        <f>IF(AND('Mapa final'!$AB$15="Muy Baja",'Mapa final'!$AD$15="Leve"),CONCATENATE("R3C",'Mapa final'!$R$15),"")</f>
        <v/>
      </c>
      <c r="M208" s="115" t="str">
        <f>IF(AND('Mapa final'!$AB$13="Muy Baja",'Mapa final'!$AD$13="Menor"),CONCATENATE("R3C",'Mapa final'!$R$13),"")</f>
        <v/>
      </c>
      <c r="N208" s="54" t="str">
        <f>IF(AND('Mapa final'!$AB$14="Muy Baja",'Mapa final'!$AD$14="Menor"),CONCATENATE("R3C",'Mapa final'!$R$14),"")</f>
        <v/>
      </c>
      <c r="O208" s="116" t="str">
        <f>IF(AND('Mapa final'!$AB$15="Muy Baja",'Mapa final'!$AD$15="Menor"),CONCATENATE("R3C",'Mapa final'!$R$15),"")</f>
        <v/>
      </c>
      <c r="P208" s="49" t="str">
        <f>IF(AND('Mapa final'!$AB$13="Muy Baja",'Mapa final'!$AD$13="Moderado"),CONCATENATE("R3C",'Mapa final'!$R$13),"")</f>
        <v/>
      </c>
      <c r="Q208" s="50" t="str">
        <f>IF(AND('Mapa final'!$AB$14="Muy Baja",'Mapa final'!$AD$14="Moderado"),CONCATENATE("R3C",'Mapa final'!$R$14),"")</f>
        <v/>
      </c>
      <c r="R208" s="111" t="str">
        <f>IF(AND('Mapa final'!$AB$15="Muy Baja",'Mapa final'!$AD$15="Moderado"),CONCATENATE("R3C",'Mapa final'!$R$15),"")</f>
        <v/>
      </c>
      <c r="S208" s="105" t="str">
        <f>IF(AND('Mapa final'!$AB$13="Muy Baja",'Mapa final'!$AD$13="Mayor"),CONCATENATE("R3C",'Mapa final'!$R$13),"")</f>
        <v/>
      </c>
      <c r="T208" s="42" t="str">
        <f>IF(AND('Mapa final'!$AB$14="Muy Baja",'Mapa final'!$AD$14="Mayor"),CONCATENATE("R3C",'Mapa final'!$R$14),"")</f>
        <v/>
      </c>
      <c r="U208" s="106" t="str">
        <f>IF(AND('Mapa final'!$AB$15="Muy Baja",'Mapa final'!$AD$15="Mayor"),CONCATENATE("R3C",'Mapa final'!$R$15),"")</f>
        <v/>
      </c>
      <c r="V208" s="43" t="str">
        <f>IF(AND('Mapa final'!$AB$13="Muy Baja",'Mapa final'!$AD$13="Catastrófico"),CONCATENATE("R3C",'Mapa final'!$R$13),"")</f>
        <v/>
      </c>
      <c r="W208" s="44" t="str">
        <f>IF(AND('Mapa final'!$AB$14="Muy Baja",'Mapa final'!$AD$14="Catastrófico"),CONCATENATE("R3C",'Mapa final'!$R$14),"")</f>
        <v/>
      </c>
      <c r="X208" s="100" t="str">
        <f>IF(AND('Mapa final'!$AB$15="Muy Baja",'Mapa final'!$AD$15="Catastrófico"),CONCATENATE("R3C",'Mapa final'!$R$15),"")</f>
        <v/>
      </c>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row>
    <row r="209" spans="1:65" ht="15.5" x14ac:dyDescent="0.35">
      <c r="A209" s="56"/>
      <c r="B209" s="307"/>
      <c r="C209" s="307"/>
      <c r="D209" s="308"/>
      <c r="E209" s="283"/>
      <c r="F209" s="279"/>
      <c r="G209" s="279"/>
      <c r="H209" s="279"/>
      <c r="I209" s="279"/>
      <c r="J209" s="115" t="e">
        <f>IF(AND('Mapa final'!#REF!="Muy Baja",'Mapa final'!#REF!="Leve"),CONCATENATE("R4C",'Mapa final'!#REF!),"")</f>
        <v>#REF!</v>
      </c>
      <c r="K209" s="54" t="e">
        <f>IF(AND('Mapa final'!#REF!="Muy Baja",'Mapa final'!#REF!="Leve"),CONCATENATE("R4C",'Mapa final'!#REF!),"")</f>
        <v>#REF!</v>
      </c>
      <c r="L209" s="116" t="e">
        <f>IF(AND('Mapa final'!#REF!="Muy Baja",'Mapa final'!#REF!="Leve"),CONCATENATE("R4C",'Mapa final'!#REF!),"")</f>
        <v>#REF!</v>
      </c>
      <c r="M209" s="115" t="e">
        <f>IF(AND('Mapa final'!#REF!="Muy Baja",'Mapa final'!#REF!="Menor"),CONCATENATE("R4C",'Mapa final'!#REF!),"")</f>
        <v>#REF!</v>
      </c>
      <c r="N209" s="54" t="e">
        <f>IF(AND('Mapa final'!#REF!="Muy Baja",'Mapa final'!#REF!="Menor"),CONCATENATE("R4C",'Mapa final'!#REF!),"")</f>
        <v>#REF!</v>
      </c>
      <c r="O209" s="116" t="e">
        <f>IF(AND('Mapa final'!#REF!="Muy Baja",'Mapa final'!#REF!="Menor"),CONCATENATE("R4C",'Mapa final'!#REF!),"")</f>
        <v>#REF!</v>
      </c>
      <c r="P209" s="49" t="e">
        <f>IF(AND('Mapa final'!#REF!="Muy Baja",'Mapa final'!#REF!="Moderado"),CONCATENATE("R4C",'Mapa final'!#REF!),"")</f>
        <v>#REF!</v>
      </c>
      <c r="Q209" s="50" t="e">
        <f>IF(AND('Mapa final'!#REF!="Muy Baja",'Mapa final'!#REF!="Moderado"),CONCATENATE("R4C",'Mapa final'!#REF!),"")</f>
        <v>#REF!</v>
      </c>
      <c r="R209" s="111" t="e">
        <f>IF(AND('Mapa final'!#REF!="Muy Baja",'Mapa final'!#REF!="Moderado"),CONCATENATE("R4C",'Mapa final'!#REF!),"")</f>
        <v>#REF!</v>
      </c>
      <c r="S209" s="105" t="e">
        <f>IF(AND('Mapa final'!#REF!="Muy Baja",'Mapa final'!#REF!="Mayor"),CONCATENATE("R4C",'Mapa final'!#REF!),"")</f>
        <v>#REF!</v>
      </c>
      <c r="T209" s="42" t="e">
        <f>IF(AND('Mapa final'!#REF!="Muy Baja",'Mapa final'!#REF!="Mayor"),CONCATENATE("R4C",'Mapa final'!#REF!),"")</f>
        <v>#REF!</v>
      </c>
      <c r="U209" s="106" t="e">
        <f>IF(AND('Mapa final'!#REF!="Muy Baja",'Mapa final'!#REF!="Mayor"),CONCATENATE("R4C",'Mapa final'!#REF!),"")</f>
        <v>#REF!</v>
      </c>
      <c r="V209" s="43" t="e">
        <f>IF(AND('Mapa final'!#REF!="Muy Baja",'Mapa final'!#REF!="Catastrófico"),CONCATENATE("R4C",'Mapa final'!#REF!),"")</f>
        <v>#REF!</v>
      </c>
      <c r="W209" s="44" t="e">
        <f>IF(AND('Mapa final'!#REF!="Muy Baja",'Mapa final'!#REF!="Catastrófico"),CONCATENATE("R4C",'Mapa final'!#REF!),"")</f>
        <v>#REF!</v>
      </c>
      <c r="X209" s="100" t="e">
        <f>IF(AND('Mapa final'!#REF!="Muy Baja",'Mapa final'!#REF!="Catastrófico"),CONCATENATE("R4C",'Mapa final'!#REF!),"")</f>
        <v>#REF!</v>
      </c>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row>
    <row r="210" spans="1:65" ht="15.5" x14ac:dyDescent="0.35">
      <c r="A210" s="56"/>
      <c r="B210" s="307"/>
      <c r="C210" s="307"/>
      <c r="D210" s="308"/>
      <c r="E210" s="283"/>
      <c r="F210" s="279"/>
      <c r="G210" s="279"/>
      <c r="H210" s="279"/>
      <c r="I210" s="279"/>
      <c r="J210" s="115" t="e">
        <f>IF(AND('Mapa final'!#REF!="Muy Baja",'Mapa final'!#REF!="Leve"),CONCATENATE("R5C",'Mapa final'!#REF!),"")</f>
        <v>#REF!</v>
      </c>
      <c r="K210" s="54" t="e">
        <f>IF(AND('Mapa final'!#REF!="Muy Baja",'Mapa final'!#REF!="Leve"),CONCATENATE("R5C",'Mapa final'!#REF!),"")</f>
        <v>#REF!</v>
      </c>
      <c r="L210" s="116" t="e">
        <f>IF(AND('Mapa final'!#REF!="Muy Baja",'Mapa final'!#REF!="Leve"),CONCATENATE("R5C",'Mapa final'!#REF!),"")</f>
        <v>#REF!</v>
      </c>
      <c r="M210" s="115" t="e">
        <f>IF(AND('Mapa final'!#REF!="Muy Baja",'Mapa final'!#REF!="Menor"),CONCATENATE("R5C",'Mapa final'!#REF!),"")</f>
        <v>#REF!</v>
      </c>
      <c r="N210" s="54" t="e">
        <f>IF(AND('Mapa final'!#REF!="Muy Baja",'Mapa final'!#REF!="Menor"),CONCATENATE("R5C",'Mapa final'!#REF!),"")</f>
        <v>#REF!</v>
      </c>
      <c r="O210" s="116" t="e">
        <f>IF(AND('Mapa final'!#REF!="Muy Baja",'Mapa final'!#REF!="Menor"),CONCATENATE("R5C",'Mapa final'!#REF!),"")</f>
        <v>#REF!</v>
      </c>
      <c r="P210" s="49" t="e">
        <f>IF(AND('Mapa final'!#REF!="Muy Baja",'Mapa final'!#REF!="Moderado"),CONCATENATE("R5C",'Mapa final'!#REF!),"")</f>
        <v>#REF!</v>
      </c>
      <c r="Q210" s="50" t="e">
        <f>IF(AND('Mapa final'!#REF!="Muy Baja",'Mapa final'!#REF!="Moderado"),CONCATENATE("R5C",'Mapa final'!#REF!),"")</f>
        <v>#REF!</v>
      </c>
      <c r="R210" s="111" t="e">
        <f>IF(AND('Mapa final'!#REF!="Muy Baja",'Mapa final'!#REF!="Moderado"),CONCATENATE("R5C",'Mapa final'!#REF!),"")</f>
        <v>#REF!</v>
      </c>
      <c r="S210" s="105" t="e">
        <f>IF(AND('Mapa final'!#REF!="Muy Baja",'Mapa final'!#REF!="Mayor"),CONCATENATE("R5C",'Mapa final'!#REF!),"")</f>
        <v>#REF!</v>
      </c>
      <c r="T210" s="42" t="e">
        <f>IF(AND('Mapa final'!#REF!="Muy Baja",'Mapa final'!#REF!="Mayor"),CONCATENATE("R5C",'Mapa final'!#REF!),"")</f>
        <v>#REF!</v>
      </c>
      <c r="U210" s="106" t="e">
        <f>IF(AND('Mapa final'!#REF!="Muy Baja",'Mapa final'!#REF!="Mayor"),CONCATENATE("R5C",'Mapa final'!#REF!),"")</f>
        <v>#REF!</v>
      </c>
      <c r="V210" s="43" t="e">
        <f>IF(AND('Mapa final'!#REF!="Muy Baja",'Mapa final'!#REF!="Catastrófico"),CONCATENATE("R5C",'Mapa final'!#REF!),"")</f>
        <v>#REF!</v>
      </c>
      <c r="W210" s="44" t="e">
        <f>IF(AND('Mapa final'!#REF!="Muy Baja",'Mapa final'!#REF!="Catastrófico"),CONCATENATE("R5C",'Mapa final'!#REF!),"")</f>
        <v>#REF!</v>
      </c>
      <c r="X210" s="100" t="e">
        <f>IF(AND('Mapa final'!#REF!="Muy Baja",'Mapa final'!#REF!="Catastrófico"),CONCATENATE("R5C",'Mapa final'!#REF!),"")</f>
        <v>#REF!</v>
      </c>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row>
    <row r="211" spans="1:65" ht="15.5" x14ac:dyDescent="0.35">
      <c r="A211" s="56"/>
      <c r="B211" s="307"/>
      <c r="C211" s="307"/>
      <c r="D211" s="308"/>
      <c r="E211" s="283"/>
      <c r="F211" s="279"/>
      <c r="G211" s="279"/>
      <c r="H211" s="279"/>
      <c r="I211" s="279"/>
      <c r="J211" s="115" t="str">
        <f>IF(AND('Mapa final'!$AB$16="Muy Baja",'Mapa final'!$AD$16="Leve"),CONCATENATE("R6C",'Mapa final'!$R$16),"")</f>
        <v/>
      </c>
      <c r="K211" s="54" t="str">
        <f>IF(AND('Mapa final'!$AB$17="Muy Baja",'Mapa final'!$AD$17="Leve"),CONCATENATE("R6C",'Mapa final'!$R$17),"")</f>
        <v/>
      </c>
      <c r="L211" s="116" t="str">
        <f>IF(AND('Mapa final'!$AB$18="Muy Baja",'Mapa final'!$AD$18="Leve"),CONCATENATE("R6C",'Mapa final'!$R$18),"")</f>
        <v/>
      </c>
      <c r="M211" s="115" t="str">
        <f>IF(AND('Mapa final'!$AB$16="Muy Baja",'Mapa final'!$AD$16="Menor"),CONCATENATE("R6C",'Mapa final'!$R$16),"")</f>
        <v/>
      </c>
      <c r="N211" s="54" t="str">
        <f>IF(AND('Mapa final'!$AB$17="Muy Baja",'Mapa final'!$AD$17="Menor"),CONCATENATE("R6C",'Mapa final'!$R$17),"")</f>
        <v/>
      </c>
      <c r="O211" s="116" t="str">
        <f>IF(AND('Mapa final'!$AB$18="Muy Baja",'Mapa final'!$AD$18="Menor"),CONCATENATE("R6C",'Mapa final'!$R$18),"")</f>
        <v/>
      </c>
      <c r="P211" s="49" t="str">
        <f>IF(AND('Mapa final'!$AB$16="Muy Baja",'Mapa final'!$AD$16="Moderado"),CONCATENATE("R6C",'Mapa final'!$R$16),"")</f>
        <v>R6C1</v>
      </c>
      <c r="Q211" s="50" t="str">
        <f>IF(AND('Mapa final'!$AB$17="Muy Baja",'Mapa final'!$AD$17="Moderado"),CONCATENATE("R6C",'Mapa final'!$R$17),"")</f>
        <v/>
      </c>
      <c r="R211" s="111" t="str">
        <f>IF(AND('Mapa final'!$AB$18="Muy Baja",'Mapa final'!$AD$18="Moderado"),CONCATENATE("R6C",'Mapa final'!$R$18),"")</f>
        <v/>
      </c>
      <c r="S211" s="105" t="str">
        <f>IF(AND('Mapa final'!$AB$16="Muy Baja",'Mapa final'!$AD$16="Mayor"),CONCATENATE("R6C",'Mapa final'!$R$16),"")</f>
        <v/>
      </c>
      <c r="T211" s="42" t="str">
        <f>IF(AND('Mapa final'!$AB$17="Muy Baja",'Mapa final'!$AD$17="Mayor"),CONCATENATE("R6C",'Mapa final'!$R$17),"")</f>
        <v/>
      </c>
      <c r="U211" s="106" t="str">
        <f>IF(AND('Mapa final'!$AB$18="Muy Baja",'Mapa final'!$AD$18="Mayor"),CONCATENATE("R6C",'Mapa final'!$R$18),"")</f>
        <v/>
      </c>
      <c r="V211" s="43" t="str">
        <f>IF(AND('Mapa final'!$AB$16="Muy Baja",'Mapa final'!$AD$16="Catastrófico"),CONCATENATE("R6C",'Mapa final'!$R$16),"")</f>
        <v/>
      </c>
      <c r="W211" s="44" t="str">
        <f>IF(AND('Mapa final'!$AB$17="Muy Baja",'Mapa final'!$AD$17="Catastrófico"),CONCATENATE("R6C",'Mapa final'!$R$17),"")</f>
        <v/>
      </c>
      <c r="X211" s="100" t="str">
        <f>IF(AND('Mapa final'!$AB$18="Muy Baja",'Mapa final'!$AD$18="Catastrófico"),CONCATENATE("R6C",'Mapa final'!$R$18),"")</f>
        <v/>
      </c>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row>
    <row r="212" spans="1:65" ht="15.5" x14ac:dyDescent="0.35">
      <c r="A212" s="56"/>
      <c r="B212" s="307"/>
      <c r="C212" s="307"/>
      <c r="D212" s="308"/>
      <c r="E212" s="283"/>
      <c r="F212" s="279"/>
      <c r="G212" s="279"/>
      <c r="H212" s="279"/>
      <c r="I212" s="279"/>
      <c r="J212" s="115" t="str">
        <f>IF(AND('Mapa final'!$AB$19="Muy Baja",'Mapa final'!$AD$19="Leve"),CONCATENATE("R7C",'Mapa final'!$R$19),"")</f>
        <v/>
      </c>
      <c r="K212" s="54" t="str">
        <f>IF(AND('Mapa final'!$AB$20="Muy Baja",'Mapa final'!$AD$20="Leve"),CONCATENATE("R7C",'Mapa final'!$R$20),"")</f>
        <v/>
      </c>
      <c r="L212" s="116" t="str">
        <f>IF(AND('Mapa final'!$AB$21="Muy Baja",'Mapa final'!$AD$21="Leve"),CONCATENATE("R7C",'Mapa final'!$R$21),"")</f>
        <v/>
      </c>
      <c r="M212" s="115" t="str">
        <f>IF(AND('Mapa final'!$AB$19="Muy Baja",'Mapa final'!$AD$19="Menor"),CONCATENATE("R7C",'Mapa final'!$R$19),"")</f>
        <v/>
      </c>
      <c r="N212" s="54" t="str">
        <f>IF(AND('Mapa final'!$AB$20="Muy Baja",'Mapa final'!$AD$20="Menor"),CONCATENATE("R7C",'Mapa final'!$R$20),"")</f>
        <v/>
      </c>
      <c r="O212" s="116" t="str">
        <f>IF(AND('Mapa final'!$AB$21="Muy Baja",'Mapa final'!$AD$21="Menor"),CONCATENATE("R7C",'Mapa final'!$R$21),"")</f>
        <v/>
      </c>
      <c r="P212" s="49" t="str">
        <f>IF(AND('Mapa final'!$AB$19="Muy Baja",'Mapa final'!$AD$19="Moderado"),CONCATENATE("R7C",'Mapa final'!$R$19),"")</f>
        <v>R7C1</v>
      </c>
      <c r="Q212" s="50" t="str">
        <f>IF(AND('Mapa final'!$AB$20="Muy Baja",'Mapa final'!$AD$20="Moderado"),CONCATENATE("R7C",'Mapa final'!$R$20),"")</f>
        <v/>
      </c>
      <c r="R212" s="111" t="str">
        <f>IF(AND('Mapa final'!$AB$21="Muy Baja",'Mapa final'!$AD$21="Moderado"),CONCATENATE("R7C",'Mapa final'!$R$21),"")</f>
        <v/>
      </c>
      <c r="S212" s="105" t="str">
        <f>IF(AND('Mapa final'!$AB$19="Muy Baja",'Mapa final'!$AD$19="Mayor"),CONCATENATE("R7C",'Mapa final'!$R$19),"")</f>
        <v/>
      </c>
      <c r="T212" s="42" t="str">
        <f>IF(AND('Mapa final'!$AB$20="Muy Baja",'Mapa final'!$AD$20="Mayor"),CONCATENATE("R7C",'Mapa final'!$R$20),"")</f>
        <v/>
      </c>
      <c r="U212" s="106" t="str">
        <f>IF(AND('Mapa final'!$AB$21="Muy Baja",'Mapa final'!$AD$21="Mayor"),CONCATENATE("R7C",'Mapa final'!$R$21),"")</f>
        <v/>
      </c>
      <c r="V212" s="43" t="str">
        <f>IF(AND('Mapa final'!$AB$19="Muy Baja",'Mapa final'!$AD$19="Catastrófico"),CONCATENATE("R7C",'Mapa final'!$R$19),"")</f>
        <v/>
      </c>
      <c r="W212" s="44" t="str">
        <f>IF(AND('Mapa final'!$AB$20="Muy Baja",'Mapa final'!$AD$20="Catastrófico"),CONCATENATE("R7C",'Mapa final'!$R$20),"")</f>
        <v/>
      </c>
      <c r="X212" s="100" t="str">
        <f>IF(AND('Mapa final'!$AB$21="Muy Baja",'Mapa final'!$AD$21="Catastrófico"),CONCATENATE("R7C",'Mapa final'!$R$21),"")</f>
        <v/>
      </c>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row>
    <row r="213" spans="1:65" ht="15.5" x14ac:dyDescent="0.35">
      <c r="A213" s="56"/>
      <c r="B213" s="307"/>
      <c r="C213" s="307"/>
      <c r="D213" s="308"/>
      <c r="E213" s="283"/>
      <c r="F213" s="279"/>
      <c r="G213" s="279"/>
      <c r="H213" s="279"/>
      <c r="I213" s="279"/>
      <c r="J213" s="115" t="str">
        <f>IF(AND('Mapa final'!$AB$22="Muy Baja",'Mapa final'!$AD$22="Leve"),CONCATENATE("R8C",'Mapa final'!$R$22),"")</f>
        <v/>
      </c>
      <c r="K213" s="54" t="str">
        <f>IF(AND('Mapa final'!$AB$23="Muy Baja",'Mapa final'!$AD$23="Leve"),CONCATENATE("R8C",'Mapa final'!$R$23),"")</f>
        <v/>
      </c>
      <c r="L213" s="116" t="str">
        <f>IF(AND('Mapa final'!$AB$24="Muy Baja",'Mapa final'!$AD$24="Leve"),CONCATENATE("R8C",'Mapa final'!$R$24),"")</f>
        <v/>
      </c>
      <c r="M213" s="115" t="str">
        <f>IF(AND('Mapa final'!$AB$22="Muy Baja",'Mapa final'!$AD$22="Menor"),CONCATENATE("R8C",'Mapa final'!$R$22),"")</f>
        <v/>
      </c>
      <c r="N213" s="54" t="str">
        <f>IF(AND('Mapa final'!$AB$23="Muy Baja",'Mapa final'!$AD$23="Menor"),CONCATENATE("R8C",'Mapa final'!$R$23),"")</f>
        <v/>
      </c>
      <c r="O213" s="116" t="str">
        <f>IF(AND('Mapa final'!$AB$24="Muy Baja",'Mapa final'!$AD$24="Menor"),CONCATENATE("R8C",'Mapa final'!$R$24),"")</f>
        <v/>
      </c>
      <c r="P213" s="49" t="str">
        <f>IF(AND('Mapa final'!$AB$22="Muy Baja",'Mapa final'!$AD$22="Moderado"),CONCATENATE("R8C",'Mapa final'!$R$22),"")</f>
        <v/>
      </c>
      <c r="Q213" s="50" t="str">
        <f>IF(AND('Mapa final'!$AB$23="Muy Baja",'Mapa final'!$AD$23="Moderado"),CONCATENATE("R8C",'Mapa final'!$R$23),"")</f>
        <v/>
      </c>
      <c r="R213" s="111" t="str">
        <f>IF(AND('Mapa final'!$AB$24="Muy Baja",'Mapa final'!$AD$24="Moderado"),CONCATENATE("R8C",'Mapa final'!$R$24),"")</f>
        <v/>
      </c>
      <c r="S213" s="105" t="str">
        <f>IF(AND('Mapa final'!$AB$22="Muy Baja",'Mapa final'!$AD$22="Mayor"),CONCATENATE("R8C",'Mapa final'!$R$22),"")</f>
        <v/>
      </c>
      <c r="T213" s="42" t="str">
        <f>IF(AND('Mapa final'!$AB$23="Muy Baja",'Mapa final'!$AD$23="Mayor"),CONCATENATE("R8C",'Mapa final'!$R$23),"")</f>
        <v/>
      </c>
      <c r="U213" s="106" t="str">
        <f>IF(AND('Mapa final'!$AB$24="Muy Baja",'Mapa final'!$AD$24="Mayor"),CONCATENATE("R8C",'Mapa final'!$R$24),"")</f>
        <v/>
      </c>
      <c r="V213" s="43" t="str">
        <f>IF(AND('Mapa final'!$AB$22="Muy Baja",'Mapa final'!$AD$22="Catastrófico"),CONCATENATE("R8C",'Mapa final'!$R$22),"")</f>
        <v/>
      </c>
      <c r="W213" s="44" t="str">
        <f>IF(AND('Mapa final'!$AB$23="Muy Baja",'Mapa final'!$AD$23="Catastrófico"),CONCATENATE("R8C",'Mapa final'!$R$23),"")</f>
        <v/>
      </c>
      <c r="X213" s="100" t="str">
        <f>IF(AND('Mapa final'!$AB$24="Muy Baja",'Mapa final'!$AD$24="Catastrófico"),CONCATENATE("R8C",'Mapa final'!$R$24),"")</f>
        <v/>
      </c>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row>
    <row r="214" spans="1:65" ht="15.5" x14ac:dyDescent="0.35">
      <c r="A214" s="56"/>
      <c r="B214" s="307"/>
      <c r="C214" s="307"/>
      <c r="D214" s="308"/>
      <c r="E214" s="283"/>
      <c r="F214" s="279"/>
      <c r="G214" s="279"/>
      <c r="H214" s="279"/>
      <c r="I214" s="279"/>
      <c r="J214" s="115" t="str">
        <f>IF(AND('Mapa final'!$AB$25="Muy Baja",'Mapa final'!$AD$25="Leve"),CONCATENATE("R9C",'Mapa final'!$R$25),"")</f>
        <v/>
      </c>
      <c r="K214" s="54" t="str">
        <f>IF(AND('Mapa final'!$AB$26="Muy Baja",'Mapa final'!$AD$26="Leve"),CONCATENATE("R9C",'Mapa final'!$R$26),"")</f>
        <v/>
      </c>
      <c r="L214" s="116" t="str">
        <f>IF(AND('Mapa final'!$AB$27="Muy Baja",'Mapa final'!$AD$27="Leve"),CONCATENATE("R9C",'Mapa final'!$R$27),"")</f>
        <v/>
      </c>
      <c r="M214" s="115" t="str">
        <f>IF(AND('Mapa final'!$AB$25="Muy Baja",'Mapa final'!$AD$25="Menor"),CONCATENATE("R9C",'Mapa final'!$R$25),"")</f>
        <v/>
      </c>
      <c r="N214" s="54" t="str">
        <f>IF(AND('Mapa final'!$AB$26="Muy Baja",'Mapa final'!$AD$26="Menor"),CONCATENATE("R9C",'Mapa final'!$R$26),"")</f>
        <v/>
      </c>
      <c r="O214" s="116" t="str">
        <f>IF(AND('Mapa final'!$AB$27="Muy Baja",'Mapa final'!$AD$27="Menor"),CONCATENATE("R9C",'Mapa final'!$R$27),"")</f>
        <v/>
      </c>
      <c r="P214" s="49" t="str">
        <f>IF(AND('Mapa final'!$AB$25="Muy Baja",'Mapa final'!$AD$25="Moderado"),CONCATENATE("R9C",'Mapa final'!$R$25),"")</f>
        <v/>
      </c>
      <c r="Q214" s="50" t="str">
        <f>IF(AND('Mapa final'!$AB$26="Muy Baja",'Mapa final'!$AD$26="Moderado"),CONCATENATE("R9C",'Mapa final'!$R$26),"")</f>
        <v/>
      </c>
      <c r="R214" s="111" t="str">
        <f>IF(AND('Mapa final'!$AB$27="Muy Baja",'Mapa final'!$AD$27="Moderado"),CONCATENATE("R9C",'Mapa final'!$R$27),"")</f>
        <v/>
      </c>
      <c r="S214" s="105" t="str">
        <f>IF(AND('Mapa final'!$AB$25="Muy Baja",'Mapa final'!$AD$25="Mayor"),CONCATENATE("R9C",'Mapa final'!$R$25),"")</f>
        <v/>
      </c>
      <c r="T214" s="42" t="str">
        <f>IF(AND('Mapa final'!$AB$26="Muy Baja",'Mapa final'!$AD$26="Mayor"),CONCATENATE("R9C",'Mapa final'!$R$26),"")</f>
        <v/>
      </c>
      <c r="U214" s="106" t="str">
        <f>IF(AND('Mapa final'!$AB$27="Muy Baja",'Mapa final'!$AD$27="Mayor"),CONCATENATE("R9C",'Mapa final'!$R$27),"")</f>
        <v/>
      </c>
      <c r="V214" s="43" t="str">
        <f>IF(AND('Mapa final'!$AB$25="Muy Baja",'Mapa final'!$AD$25="Catastrófico"),CONCATENATE("R9C",'Mapa final'!$R$25),"")</f>
        <v/>
      </c>
      <c r="W214" s="44" t="str">
        <f>IF(AND('Mapa final'!$AB$26="Muy Baja",'Mapa final'!$AD$26="Catastrófico"),CONCATENATE("R9C",'Mapa final'!$R$26),"")</f>
        <v/>
      </c>
      <c r="X214" s="100" t="str">
        <f>IF(AND('Mapa final'!$AB$27="Muy Baja",'Mapa final'!$AD$27="Catastrófico"),CONCATENATE("R9C",'Mapa final'!$R$27),"")</f>
        <v/>
      </c>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row>
    <row r="215" spans="1:65" ht="15.5" x14ac:dyDescent="0.35">
      <c r="A215" s="56"/>
      <c r="B215" s="307"/>
      <c r="C215" s="307"/>
      <c r="D215" s="308"/>
      <c r="E215" s="283"/>
      <c r="F215" s="279"/>
      <c r="G215" s="279"/>
      <c r="H215" s="279"/>
      <c r="I215" s="279"/>
      <c r="J215" s="115" t="str">
        <f>IF(AND('Mapa final'!$AB$28="Muy Baja",'Mapa final'!$AD$28="Leve"),CONCATENATE("R10C",'Mapa final'!$R$28),"")</f>
        <v/>
      </c>
      <c r="K215" s="54" t="str">
        <f>IF(AND('Mapa final'!$AB$29="Muy Baja",'Mapa final'!$AD$29="Leve"),CONCATENATE("R10C",'Mapa final'!$R$29),"")</f>
        <v/>
      </c>
      <c r="L215" s="116" t="str">
        <f>IF(AND('Mapa final'!$AB$30="Muy Baja",'Mapa final'!$AD$30="Leve"),CONCATENATE("R10C",'Mapa final'!$R$30),"")</f>
        <v/>
      </c>
      <c r="M215" s="115" t="str">
        <f>IF(AND('Mapa final'!$AB$28="Muy Baja",'Mapa final'!$AD$28="Menor"),CONCATENATE("R10C",'Mapa final'!$R$28),"")</f>
        <v/>
      </c>
      <c r="N215" s="54" t="str">
        <f>IF(AND('Mapa final'!$AB$29="Muy Baja",'Mapa final'!$AD$29="Menor"),CONCATENATE("R10C",'Mapa final'!$R$29),"")</f>
        <v/>
      </c>
      <c r="O215" s="116" t="str">
        <f>IF(AND('Mapa final'!$AB$30="Muy Baja",'Mapa final'!$AD$30="Menor"),CONCATENATE("R10C",'Mapa final'!$R$30),"")</f>
        <v/>
      </c>
      <c r="P215" s="49" t="str">
        <f>IF(AND('Mapa final'!$AB$28="Muy Baja",'Mapa final'!$AD$28="Moderado"),CONCATENATE("R10C",'Mapa final'!$R$28),"")</f>
        <v/>
      </c>
      <c r="Q215" s="50" t="str">
        <f>IF(AND('Mapa final'!$AB$29="Muy Baja",'Mapa final'!$AD$29="Moderado"),CONCATENATE("R10C",'Mapa final'!$R$29),"")</f>
        <v/>
      </c>
      <c r="R215" s="111" t="str">
        <f>IF(AND('Mapa final'!$AB$30="Muy Baja",'Mapa final'!$AD$30="Moderado"),CONCATENATE("R10C",'Mapa final'!$R$30),"")</f>
        <v/>
      </c>
      <c r="S215" s="105" t="str">
        <f>IF(AND('Mapa final'!$AB$28="Muy Baja",'Mapa final'!$AD$28="Mayor"),CONCATENATE("R10C",'Mapa final'!$R$28),"")</f>
        <v/>
      </c>
      <c r="T215" s="42" t="str">
        <f>IF(AND('Mapa final'!$AB$29="Muy Baja",'Mapa final'!$AD$29="Mayor"),CONCATENATE("R10C",'Mapa final'!$R$29),"")</f>
        <v/>
      </c>
      <c r="U215" s="106" t="str">
        <f>IF(AND('Mapa final'!$AB$30="Muy Baja",'Mapa final'!$AD$30="Mayor"),CONCATENATE("R10C",'Mapa final'!$R$30),"")</f>
        <v/>
      </c>
      <c r="V215" s="43" t="str">
        <f>IF(AND('Mapa final'!$AB$28="Muy Baja",'Mapa final'!$AD$28="Catastrófico"),CONCATENATE("R10C",'Mapa final'!$R$28),"")</f>
        <v/>
      </c>
      <c r="W215" s="44" t="str">
        <f>IF(AND('Mapa final'!$AB$29="Muy Baja",'Mapa final'!$AD$29="Catastrófico"),CONCATENATE("R10C",'Mapa final'!$R$29),"")</f>
        <v/>
      </c>
      <c r="X215" s="100" t="str">
        <f>IF(AND('Mapa final'!$AB$30="Muy Baja",'Mapa final'!$AD$30="Catastrófico"),CONCATENATE("R10C",'Mapa final'!$R$30),"")</f>
        <v/>
      </c>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row>
    <row r="216" spans="1:65" ht="15.5" x14ac:dyDescent="0.35">
      <c r="A216" s="56"/>
      <c r="B216" s="307"/>
      <c r="C216" s="307"/>
      <c r="D216" s="308"/>
      <c r="E216" s="283"/>
      <c r="F216" s="279"/>
      <c r="G216" s="279"/>
      <c r="H216" s="279"/>
      <c r="I216" s="279"/>
      <c r="J216" s="115" t="str">
        <f>IF(AND('Mapa final'!$AB$31="Muy Baja",'Mapa final'!$AD$31="Leve"),CONCATENATE("R11C",'Mapa final'!$R$31),"")</f>
        <v/>
      </c>
      <c r="K216" s="54" t="str">
        <f>IF(AND('Mapa final'!$AB$32="Muy Baja",'Mapa final'!$AD$32="Leve"),CONCATENATE("R11C",'Mapa final'!$R$32),"")</f>
        <v/>
      </c>
      <c r="L216" s="116" t="str">
        <f>IF(AND('Mapa final'!$AB$33="Muy Baja",'Mapa final'!$AD$33="Leve"),CONCATENATE("R11C",'Mapa final'!$R$33),"")</f>
        <v/>
      </c>
      <c r="M216" s="115" t="str">
        <f>IF(AND('Mapa final'!$AB$31="Muy Baja",'Mapa final'!$AD$31="Menor"),CONCATENATE("R11C",'Mapa final'!$R$31),"")</f>
        <v/>
      </c>
      <c r="N216" s="54" t="str">
        <f>IF(AND('Mapa final'!$AB$32="Muy Baja",'Mapa final'!$AD$32="Menor"),CONCATENATE("R11C",'Mapa final'!$R$32),"")</f>
        <v/>
      </c>
      <c r="O216" s="116" t="str">
        <f>IF(AND('Mapa final'!$AB$33="Muy Baja",'Mapa final'!$AD$33="Menor"),CONCATENATE("R11C",'Mapa final'!$R$33),"")</f>
        <v/>
      </c>
      <c r="P216" s="49" t="str">
        <f>IF(AND('Mapa final'!$AB$31="Muy Baja",'Mapa final'!$AD$31="Moderado"),CONCATENATE("R11C",'Mapa final'!$R$31),"")</f>
        <v/>
      </c>
      <c r="Q216" s="50" t="str">
        <f>IF(AND('Mapa final'!$AB$32="Muy Baja",'Mapa final'!$AD$32="Moderado"),CONCATENATE("R11C",'Mapa final'!$R$32),"")</f>
        <v/>
      </c>
      <c r="R216" s="111" t="str">
        <f>IF(AND('Mapa final'!$AB$33="Muy Baja",'Mapa final'!$AD$33="Moderado"),CONCATENATE("R11C",'Mapa final'!$R$33),"")</f>
        <v/>
      </c>
      <c r="S216" s="105" t="str">
        <f>IF(AND('Mapa final'!$AB$31="Muy Baja",'Mapa final'!$AD$31="Mayor"),CONCATENATE("R11C",'Mapa final'!$R$31),"")</f>
        <v/>
      </c>
      <c r="T216" s="42" t="str">
        <f>IF(AND('Mapa final'!$AB$32="Muy Baja",'Mapa final'!$AD$32="Mayor"),CONCATENATE("R11C",'Mapa final'!$R$32),"")</f>
        <v/>
      </c>
      <c r="U216" s="106" t="str">
        <f>IF(AND('Mapa final'!$AB$33="Muy Baja",'Mapa final'!$AD$33="Mayor"),CONCATENATE("R11C",'Mapa final'!$R$33),"")</f>
        <v/>
      </c>
      <c r="V216" s="43" t="str">
        <f>IF(AND('Mapa final'!$AB$31="Muy Baja",'Mapa final'!$AD$31="Catastrófico"),CONCATENATE("R11C",'Mapa final'!$R$31),"")</f>
        <v/>
      </c>
      <c r="W216" s="44" t="str">
        <f>IF(AND('Mapa final'!$AB$32="Muy Baja",'Mapa final'!$AD$32="Catastrófico"),CONCATENATE("R11C",'Mapa final'!$R$32),"")</f>
        <v/>
      </c>
      <c r="X216" s="100" t="str">
        <f>IF(AND('Mapa final'!$AB$33="Muy Baja",'Mapa final'!$AD$33="Catastrófico"),CONCATENATE("R11C",'Mapa final'!$R$33),"")</f>
        <v/>
      </c>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row>
    <row r="217" spans="1:65" ht="15.5" x14ac:dyDescent="0.35">
      <c r="A217" s="56"/>
      <c r="B217" s="307"/>
      <c r="C217" s="307"/>
      <c r="D217" s="308"/>
      <c r="E217" s="283"/>
      <c r="F217" s="279"/>
      <c r="G217" s="279"/>
      <c r="H217" s="279"/>
      <c r="I217" s="279"/>
      <c r="J217" s="115" t="str">
        <f>IF(AND('Mapa final'!$AB$34="Muy Baja",'Mapa final'!$AD$34="Leve"),CONCATENATE("R12C",'Mapa final'!$R$34),"")</f>
        <v/>
      </c>
      <c r="K217" s="54" t="str">
        <f>IF(AND('Mapa final'!$AB$35="Muy Baja",'Mapa final'!$AD$35="Leve"),CONCATENATE("R12C",'Mapa final'!$R$35),"")</f>
        <v/>
      </c>
      <c r="L217" s="116" t="str">
        <f>IF(AND('Mapa final'!$AB$36="Muy Baja",'Mapa final'!$AD$36="Leve"),CONCATENATE("R12C",'Mapa final'!$R$36),"")</f>
        <v/>
      </c>
      <c r="M217" s="115" t="str">
        <f>IF(AND('Mapa final'!$AB$34="Muy Baja",'Mapa final'!$AD$34="Menor"),CONCATENATE("R12C",'Mapa final'!$R$34),"")</f>
        <v/>
      </c>
      <c r="N217" s="54" t="str">
        <f>IF(AND('Mapa final'!$AB$35="Muy Baja",'Mapa final'!$AD$35="Menor"),CONCATENATE("R12C",'Mapa final'!$R$35),"")</f>
        <v/>
      </c>
      <c r="O217" s="116" t="str">
        <f>IF(AND('Mapa final'!$AB$36="Muy Baja",'Mapa final'!$AD$36="Menor"),CONCATENATE("R12C",'Mapa final'!$R$36),"")</f>
        <v/>
      </c>
      <c r="P217" s="49" t="str">
        <f>IF(AND('Mapa final'!$AB$34="Muy Baja",'Mapa final'!$AD$34="Moderado"),CONCATENATE("R12C",'Mapa final'!$R$34),"")</f>
        <v/>
      </c>
      <c r="Q217" s="50" t="str">
        <f>IF(AND('Mapa final'!$AB$35="Muy Baja",'Mapa final'!$AD$35="Moderado"),CONCATENATE("R12C",'Mapa final'!$R$35),"")</f>
        <v/>
      </c>
      <c r="R217" s="111" t="str">
        <f>IF(AND('Mapa final'!$AB$36="Muy Baja",'Mapa final'!$AD$36="Moderado"),CONCATENATE("R12C",'Mapa final'!$R$36),"")</f>
        <v/>
      </c>
      <c r="S217" s="105" t="str">
        <f>IF(AND('Mapa final'!$AB$34="Muy Baja",'Mapa final'!$AD$34="Mayor"),CONCATENATE("R12C",'Mapa final'!$R$34),"")</f>
        <v/>
      </c>
      <c r="T217" s="42" t="str">
        <f>IF(AND('Mapa final'!$AB$35="Muy Baja",'Mapa final'!$AD$35="Mayor"),CONCATENATE("R12C",'Mapa final'!$R$35),"")</f>
        <v/>
      </c>
      <c r="U217" s="106" t="str">
        <f>IF(AND('Mapa final'!$AB$36="Muy Baja",'Mapa final'!$AD$36="Mayor"),CONCATENATE("R12C",'Mapa final'!$R$36),"")</f>
        <v/>
      </c>
      <c r="V217" s="43" t="str">
        <f>IF(AND('Mapa final'!$AB$34="Muy Baja",'Mapa final'!$AD$34="Catastrófico"),CONCATENATE("R12C",'Mapa final'!$R$34),"")</f>
        <v/>
      </c>
      <c r="W217" s="44" t="str">
        <f>IF(AND('Mapa final'!$AB$35="Muy Baja",'Mapa final'!$AD$35="Catastrófico"),CONCATENATE("R12C",'Mapa final'!$R$35),"")</f>
        <v/>
      </c>
      <c r="X217" s="100" t="str">
        <f>IF(AND('Mapa final'!$AB$36="Muy Baja",'Mapa final'!$AD$36="Catastrófico"),CONCATENATE("R12C",'Mapa final'!$R$36),"")</f>
        <v/>
      </c>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row>
    <row r="218" spans="1:65" ht="15.5" x14ac:dyDescent="0.35">
      <c r="A218" s="56"/>
      <c r="B218" s="307"/>
      <c r="C218" s="307"/>
      <c r="D218" s="308"/>
      <c r="E218" s="283"/>
      <c r="F218" s="279"/>
      <c r="G218" s="279"/>
      <c r="H218" s="279"/>
      <c r="I218" s="279"/>
      <c r="J218" s="115" t="str">
        <f>IF(AND('Mapa final'!$AB$37="Muy Baja",'Mapa final'!$AD$37="Leve"),CONCATENATE("R13C",'Mapa final'!$R$37),"")</f>
        <v/>
      </c>
      <c r="K218" s="54" t="str">
        <f>IF(AND('Mapa final'!$AB$38="Muy Baja",'Mapa final'!$AD$38="Leve"),CONCATENATE("R13C",'Mapa final'!$R$38),"")</f>
        <v/>
      </c>
      <c r="L218" s="116" t="str">
        <f>IF(AND('Mapa final'!$AB$39="Muy Baja",'Mapa final'!$AD$39="Leve"),CONCATENATE("R13C",'Mapa final'!$R$39),"")</f>
        <v/>
      </c>
      <c r="M218" s="115" t="str">
        <f>IF(AND('Mapa final'!$AB$37="Muy Baja",'Mapa final'!$AD$37="Menor"),CONCATENATE("R13C",'Mapa final'!$R$37),"")</f>
        <v/>
      </c>
      <c r="N218" s="54" t="str">
        <f>IF(AND('Mapa final'!$AB$38="Muy Baja",'Mapa final'!$AD$38="Menor"),CONCATENATE("R13C",'Mapa final'!$R$38),"")</f>
        <v/>
      </c>
      <c r="O218" s="116" t="str">
        <f>IF(AND('Mapa final'!$AB$39="Muy Baja",'Mapa final'!$AD$39="Menor"),CONCATENATE("R13C",'Mapa final'!$R$39),"")</f>
        <v/>
      </c>
      <c r="P218" s="49" t="str">
        <f>IF(AND('Mapa final'!$AB$37="Muy Baja",'Mapa final'!$AD$37="Moderado"),CONCATENATE("R13C",'Mapa final'!$R$37),"")</f>
        <v>R13C1</v>
      </c>
      <c r="Q218" s="50" t="str">
        <f>IF(AND('Mapa final'!$AB$38="Muy Baja",'Mapa final'!$AD$38="Moderado"),CONCATENATE("R13C",'Mapa final'!$R$38),"")</f>
        <v/>
      </c>
      <c r="R218" s="111" t="str">
        <f>IF(AND('Mapa final'!$AB$39="Muy Baja",'Mapa final'!$AD$39="Moderado"),CONCATENATE("R13C",'Mapa final'!$R$39),"")</f>
        <v/>
      </c>
      <c r="S218" s="105" t="str">
        <f>IF(AND('Mapa final'!$AB$37="Muy Baja",'Mapa final'!$AD$37="Mayor"),CONCATENATE("R13C",'Mapa final'!$R$37),"")</f>
        <v/>
      </c>
      <c r="T218" s="42" t="str">
        <f>IF(AND('Mapa final'!$AB$38="Muy Baja",'Mapa final'!$AD$38="Mayor"),CONCATENATE("R13C",'Mapa final'!$R$38),"")</f>
        <v/>
      </c>
      <c r="U218" s="106" t="str">
        <f>IF(AND('Mapa final'!$AB$39="Muy Baja",'Mapa final'!$AD$39="Mayor"),CONCATENATE("R13C",'Mapa final'!$R$39),"")</f>
        <v/>
      </c>
      <c r="V218" s="43" t="str">
        <f>IF(AND('Mapa final'!$AB$37="Muy Baja",'Mapa final'!$AD$37="Catastrófico"),CONCATENATE("R13C",'Mapa final'!$R$37),"")</f>
        <v/>
      </c>
      <c r="W218" s="44" t="str">
        <f>IF(AND('Mapa final'!$AB$38="Muy Baja",'Mapa final'!$AD$38="Catastrófico"),CONCATENATE("R13C",'Mapa final'!$R$38),"")</f>
        <v/>
      </c>
      <c r="X218" s="100" t="str">
        <f>IF(AND('Mapa final'!$AB$39="Muy Baja",'Mapa final'!$AD$39="Catastrófico"),CONCATENATE("R13C",'Mapa final'!$R$39),"")</f>
        <v/>
      </c>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row>
    <row r="219" spans="1:65" ht="15.5" x14ac:dyDescent="0.35">
      <c r="A219" s="56"/>
      <c r="B219" s="307"/>
      <c r="C219" s="307"/>
      <c r="D219" s="308"/>
      <c r="E219" s="283"/>
      <c r="F219" s="279"/>
      <c r="G219" s="279"/>
      <c r="H219" s="279"/>
      <c r="I219" s="279"/>
      <c r="J219" s="115" t="str">
        <f>IF(AND('Mapa final'!$AB$40="Muy Baja",'Mapa final'!$AD$40="Leve"),CONCATENATE("R14C",'Mapa final'!$R$40),"")</f>
        <v/>
      </c>
      <c r="K219" s="54" t="str">
        <f>IF(AND('Mapa final'!$AB$41="Muy Baja",'Mapa final'!$AD$41="Leve"),CONCATENATE("R14C",'Mapa final'!$R$41),"")</f>
        <v/>
      </c>
      <c r="L219" s="116" t="str">
        <f>IF(AND('Mapa final'!$AB$42="Muy Baja",'Mapa final'!$AD$42="Leve"),CONCATENATE("R14C",'Mapa final'!$R$42),"")</f>
        <v/>
      </c>
      <c r="M219" s="115" t="str">
        <f>IF(AND('Mapa final'!$AB$40="Muy Baja",'Mapa final'!$AD$40="Menor"),CONCATENATE("R14C",'Mapa final'!$R$40),"")</f>
        <v/>
      </c>
      <c r="N219" s="54" t="str">
        <f>IF(AND('Mapa final'!$AB$41="Muy Baja",'Mapa final'!$AD$41="Menor"),CONCATENATE("R14C",'Mapa final'!$R$41),"")</f>
        <v/>
      </c>
      <c r="O219" s="116" t="str">
        <f>IF(AND('Mapa final'!$AB$42="Muy Baja",'Mapa final'!$AD$42="Menor"),CONCATENATE("R14C",'Mapa final'!$R$42),"")</f>
        <v/>
      </c>
      <c r="P219" s="49" t="str">
        <f>IF(AND('Mapa final'!$AB$40="Muy Baja",'Mapa final'!$AD$40="Moderado"),CONCATENATE("R14C",'Mapa final'!$R$40),"")</f>
        <v/>
      </c>
      <c r="Q219" s="50" t="str">
        <f>IF(AND('Mapa final'!$AB$41="Muy Baja",'Mapa final'!$AD$41="Moderado"),CONCATENATE("R14C",'Mapa final'!$R$41),"")</f>
        <v>R14C2</v>
      </c>
      <c r="R219" s="111" t="str">
        <f>IF(AND('Mapa final'!$AB$42="Muy Baja",'Mapa final'!$AD$42="Moderado"),CONCATENATE("R14C",'Mapa final'!$R$42),"")</f>
        <v/>
      </c>
      <c r="S219" s="105" t="str">
        <f>IF(AND('Mapa final'!$AB$40="Muy Baja",'Mapa final'!$AD$40="Mayor"),CONCATENATE("R14C",'Mapa final'!$R$40),"")</f>
        <v/>
      </c>
      <c r="T219" s="42" t="str">
        <f>IF(AND('Mapa final'!$AB$41="Muy Baja",'Mapa final'!$AD$41="Mayor"),CONCATENATE("R14C",'Mapa final'!$R$41),"")</f>
        <v/>
      </c>
      <c r="U219" s="106" t="str">
        <f>IF(AND('Mapa final'!$AB$42="Muy Baja",'Mapa final'!$AD$42="Mayor"),CONCATENATE("R14C",'Mapa final'!$R$42),"")</f>
        <v/>
      </c>
      <c r="V219" s="43" t="str">
        <f>IF(AND('Mapa final'!$AB$40="Muy Baja",'Mapa final'!$AD$40="Catastrófico"),CONCATENATE("R14C",'Mapa final'!$R$40),"")</f>
        <v/>
      </c>
      <c r="W219" s="44" t="str">
        <f>IF(AND('Mapa final'!$AB$41="Muy Baja",'Mapa final'!$AD$41="Catastrófico"),CONCATENATE("R14C",'Mapa final'!$R$41),"")</f>
        <v/>
      </c>
      <c r="X219" s="100" t="str">
        <f>IF(AND('Mapa final'!$AB$42="Muy Baja",'Mapa final'!$AD$42="Catastrófico"),CONCATENATE("R14C",'Mapa final'!$R$42),"")</f>
        <v/>
      </c>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row>
    <row r="220" spans="1:65" ht="15.5" x14ac:dyDescent="0.35">
      <c r="A220" s="56"/>
      <c r="B220" s="307"/>
      <c r="C220" s="307"/>
      <c r="D220" s="308"/>
      <c r="E220" s="283"/>
      <c r="F220" s="279"/>
      <c r="G220" s="279"/>
      <c r="H220" s="279"/>
      <c r="I220" s="279"/>
      <c r="J220" s="115" t="str">
        <f>IF(AND('Mapa final'!$AB$43="Muy Baja",'Mapa final'!$AD$43="Leve"),CONCATENATE("R15C",'Mapa final'!$R$43),"")</f>
        <v/>
      </c>
      <c r="K220" s="54" t="str">
        <f>IF(AND('Mapa final'!$AB$44="Muy Baja",'Mapa final'!$AD$44="Leve"),CONCATENATE("R15C",'Mapa final'!$R$44),"")</f>
        <v/>
      </c>
      <c r="L220" s="116" t="str">
        <f>IF(AND('Mapa final'!$AB$45="Muy Baja",'Mapa final'!$AD$45="Leve"),CONCATENATE("R15C",'Mapa final'!$R$45),"")</f>
        <v/>
      </c>
      <c r="M220" s="115" t="str">
        <f>IF(AND('Mapa final'!$AB$43="Muy Baja",'Mapa final'!$AD$43="Menor"),CONCATENATE("R15C",'Mapa final'!$R$43),"")</f>
        <v/>
      </c>
      <c r="N220" s="54" t="str">
        <f>IF(AND('Mapa final'!$AB$44="Muy Baja",'Mapa final'!$AD$44="Menor"),CONCATENATE("R15C",'Mapa final'!$R$44),"")</f>
        <v/>
      </c>
      <c r="O220" s="116" t="str">
        <f>IF(AND('Mapa final'!$AB$45="Muy Baja",'Mapa final'!$AD$45="Menor"),CONCATENATE("R15C",'Mapa final'!$R$45),"")</f>
        <v/>
      </c>
      <c r="P220" s="49" t="str">
        <f>IF(AND('Mapa final'!$AB$43="Muy Baja",'Mapa final'!$AD$43="Moderado"),CONCATENATE("R15C",'Mapa final'!$R$43),"")</f>
        <v/>
      </c>
      <c r="Q220" s="50" t="str">
        <f>IF(AND('Mapa final'!$AB$44="Muy Baja",'Mapa final'!$AD$44="Moderado"),CONCATENATE("R15C",'Mapa final'!$R$44),"")</f>
        <v/>
      </c>
      <c r="R220" s="111" t="str">
        <f>IF(AND('Mapa final'!$AB$45="Muy Baja",'Mapa final'!$AD$45="Moderado"),CONCATENATE("R15C",'Mapa final'!$R$45),"")</f>
        <v/>
      </c>
      <c r="S220" s="105" t="str">
        <f>IF(AND('Mapa final'!$AB$43="Muy Baja",'Mapa final'!$AD$43="Mayor"),CONCATENATE("R15C",'Mapa final'!$R$43),"")</f>
        <v/>
      </c>
      <c r="T220" s="42" t="str">
        <f>IF(AND('Mapa final'!$AB$44="Muy Baja",'Mapa final'!$AD$44="Mayor"),CONCATENATE("R15C",'Mapa final'!$R$44),"")</f>
        <v/>
      </c>
      <c r="U220" s="106" t="str">
        <f>IF(AND('Mapa final'!$AB$45="Muy Baja",'Mapa final'!$AD$45="Mayor"),CONCATENATE("R15C",'Mapa final'!$R$45),"")</f>
        <v/>
      </c>
      <c r="V220" s="43" t="str">
        <f>IF(AND('Mapa final'!$AB$43="Muy Baja",'Mapa final'!$AD$43="Catastrófico"),CONCATENATE("R15C",'Mapa final'!$R$43),"")</f>
        <v/>
      </c>
      <c r="W220" s="44" t="str">
        <f>IF(AND('Mapa final'!$AB$44="Muy Baja",'Mapa final'!$AD$44="Catastrófico"),CONCATENATE("R15C",'Mapa final'!$R$44),"")</f>
        <v/>
      </c>
      <c r="X220" s="100" t="str">
        <f>IF(AND('Mapa final'!$AB$45="Muy Baja",'Mapa final'!$AD$45="Catastrófico"),CONCATENATE("R15C",'Mapa final'!$R$45),"")</f>
        <v/>
      </c>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row>
    <row r="221" spans="1:65" ht="15.5" x14ac:dyDescent="0.35">
      <c r="A221" s="56"/>
      <c r="B221" s="307"/>
      <c r="C221" s="307"/>
      <c r="D221" s="308"/>
      <c r="E221" s="283"/>
      <c r="F221" s="279"/>
      <c r="G221" s="279"/>
      <c r="H221" s="279"/>
      <c r="I221" s="279"/>
      <c r="J221" s="115" t="str">
        <f>IF(AND('Mapa final'!$AB$46="Muy Baja",'Mapa final'!$AD$46="Leve"),CONCATENATE("R16C",'Mapa final'!$R$46),"")</f>
        <v/>
      </c>
      <c r="K221" s="54" t="str">
        <f>IF(AND('Mapa final'!$AB$47="Muy Baja",'Mapa final'!$AD$47="Leve"),CONCATENATE("R16C",'Mapa final'!$R$47),"")</f>
        <v/>
      </c>
      <c r="L221" s="116" t="str">
        <f>IF(AND('Mapa final'!$AB$48="Muy Baja",'Mapa final'!$AD$48="Leve"),CONCATENATE("R16C",'Mapa final'!$R$48),"")</f>
        <v/>
      </c>
      <c r="M221" s="115" t="str">
        <f>IF(AND('Mapa final'!$AB$46="Muy Baja",'Mapa final'!$AD$46="Menor"),CONCATENATE("R16C",'Mapa final'!$R$46),"")</f>
        <v/>
      </c>
      <c r="N221" s="54" t="str">
        <f>IF(AND('Mapa final'!$AB$47="Muy Baja",'Mapa final'!$AD$47="Menor"),CONCATENATE("R16C",'Mapa final'!$R$47),"")</f>
        <v/>
      </c>
      <c r="O221" s="116" t="str">
        <f>IF(AND('Mapa final'!$AB$48="Muy Baja",'Mapa final'!$AD$48="Menor"),CONCATENATE("R16C",'Mapa final'!$R$48),"")</f>
        <v/>
      </c>
      <c r="P221" s="49" t="str">
        <f>IF(AND('Mapa final'!$AB$46="Muy Baja",'Mapa final'!$AD$46="Moderado"),CONCATENATE("R16C",'Mapa final'!$R$46),"")</f>
        <v/>
      </c>
      <c r="Q221" s="50" t="str">
        <f>IF(AND('Mapa final'!$AB$47="Muy Baja",'Mapa final'!$AD$47="Moderado"),CONCATENATE("R16C",'Mapa final'!$R$47),"")</f>
        <v/>
      </c>
      <c r="R221" s="111" t="str">
        <f>IF(AND('Mapa final'!$AB$48="Muy Baja",'Mapa final'!$AD$48="Moderado"),CONCATENATE("R16C",'Mapa final'!$R$48),"")</f>
        <v/>
      </c>
      <c r="S221" s="105" t="str">
        <f>IF(AND('Mapa final'!$AB$46="Muy Baja",'Mapa final'!$AD$46="Mayor"),CONCATENATE("R16C",'Mapa final'!$R$46),"")</f>
        <v/>
      </c>
      <c r="T221" s="42" t="str">
        <f>IF(AND('Mapa final'!$AB$47="Muy Baja",'Mapa final'!$AD$47="Mayor"),CONCATENATE("R16C",'Mapa final'!$R$47),"")</f>
        <v/>
      </c>
      <c r="U221" s="106" t="str">
        <f>IF(AND('Mapa final'!$AB$48="Muy Baja",'Mapa final'!$AD$48="Mayor"),CONCATENATE("R16C",'Mapa final'!$R$48),"")</f>
        <v/>
      </c>
      <c r="V221" s="43" t="str">
        <f>IF(AND('Mapa final'!$AB$46="Muy Baja",'Mapa final'!$AD$46="Catastrófico"),CONCATENATE("R16C",'Mapa final'!$R$46),"")</f>
        <v/>
      </c>
      <c r="W221" s="44" t="str">
        <f>IF(AND('Mapa final'!$AB$47="Muy Baja",'Mapa final'!$AD$47="Catastrófico"),CONCATENATE("R16C",'Mapa final'!$R$47),"")</f>
        <v/>
      </c>
      <c r="X221" s="100" t="str">
        <f>IF(AND('Mapa final'!$AB$48="Muy Baja",'Mapa final'!$AD$48="Catastrófico"),CONCATENATE("R16C",'Mapa final'!$R$48),"")</f>
        <v/>
      </c>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row>
    <row r="222" spans="1:65" ht="15.5" x14ac:dyDescent="0.35">
      <c r="A222" s="56"/>
      <c r="B222" s="307"/>
      <c r="C222" s="307"/>
      <c r="D222" s="308"/>
      <c r="E222" s="283"/>
      <c r="F222" s="279"/>
      <c r="G222" s="279"/>
      <c r="H222" s="279"/>
      <c r="I222" s="279"/>
      <c r="J222" s="115" t="str">
        <f>IF(AND('Mapa final'!$AB$49="Muy Baja",'Mapa final'!$AD$49="Leve"),CONCATENATE("R17C",'Mapa final'!$R$49),"")</f>
        <v/>
      </c>
      <c r="K222" s="54" t="str">
        <f>IF(AND('Mapa final'!$AB$50="Muy Baja",'Mapa final'!$AD$50="Leve"),CONCATENATE("R17C",'Mapa final'!$R$50),"")</f>
        <v/>
      </c>
      <c r="L222" s="116" t="str">
        <f>IF(AND('Mapa final'!$AB$51="Muy Baja",'Mapa final'!$AD$51="Leve"),CONCATENATE("R17C",'Mapa final'!$R$51),"")</f>
        <v/>
      </c>
      <c r="M222" s="115" t="str">
        <f>IF(AND('Mapa final'!$AB$49="Muy Baja",'Mapa final'!$AD$49="Menor"),CONCATENATE("R17C",'Mapa final'!$R$49),"")</f>
        <v/>
      </c>
      <c r="N222" s="54" t="str">
        <f>IF(AND('Mapa final'!$AB$50="Muy Baja",'Mapa final'!$AD$50="Menor"),CONCATENATE("R17C",'Mapa final'!$R$50),"")</f>
        <v/>
      </c>
      <c r="O222" s="116" t="str">
        <f>IF(AND('Mapa final'!$AB$51="Muy Baja",'Mapa final'!$AD$51="Menor"),CONCATENATE("R17C",'Mapa final'!$R$51),"")</f>
        <v/>
      </c>
      <c r="P222" s="49" t="str">
        <f>IF(AND('Mapa final'!$AB$49="Muy Baja",'Mapa final'!$AD$49="Moderado"),CONCATENATE("R17C",'Mapa final'!$R$49),"")</f>
        <v/>
      </c>
      <c r="Q222" s="50" t="str">
        <f>IF(AND('Mapa final'!$AB$50="Muy Baja",'Mapa final'!$AD$50="Moderado"),CONCATENATE("R17C",'Mapa final'!$R$50),"")</f>
        <v/>
      </c>
      <c r="R222" s="111" t="str">
        <f>IF(AND('Mapa final'!$AB$51="Muy Baja",'Mapa final'!$AD$51="Moderado"),CONCATENATE("R17C",'Mapa final'!$R$51),"")</f>
        <v/>
      </c>
      <c r="S222" s="105" t="str">
        <f>IF(AND('Mapa final'!$AB$49="Muy Baja",'Mapa final'!$AD$49="Mayor"),CONCATENATE("R17C",'Mapa final'!$R$49),"")</f>
        <v/>
      </c>
      <c r="T222" s="42" t="str">
        <f>IF(AND('Mapa final'!$AB$50="Muy Baja",'Mapa final'!$AD$50="Mayor"),CONCATENATE("R17C",'Mapa final'!$R$50),"")</f>
        <v/>
      </c>
      <c r="U222" s="106" t="str">
        <f>IF(AND('Mapa final'!$AB$51="Muy Baja",'Mapa final'!$AD$51="Mayor"),CONCATENATE("R17C",'Mapa final'!$R$51),"")</f>
        <v/>
      </c>
      <c r="V222" s="43" t="str">
        <f>IF(AND('Mapa final'!$AB$49="Muy Baja",'Mapa final'!$AD$49="Catastrófico"),CONCATENATE("R17C",'Mapa final'!$R$49),"")</f>
        <v/>
      </c>
      <c r="W222" s="44" t="str">
        <f>IF(AND('Mapa final'!$AB$50="Muy Baja",'Mapa final'!$AD$50="Catastrófico"),CONCATENATE("R17C",'Mapa final'!$R$50),"")</f>
        <v/>
      </c>
      <c r="X222" s="100" t="str">
        <f>IF(AND('Mapa final'!$AB$51="Muy Baja",'Mapa final'!$AD$51="Catastrófico"),CONCATENATE("R17C",'Mapa final'!$R$51),"")</f>
        <v/>
      </c>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row>
    <row r="223" spans="1:65" ht="15.5" x14ac:dyDescent="0.35">
      <c r="A223" s="56"/>
      <c r="B223" s="307"/>
      <c r="C223" s="307"/>
      <c r="D223" s="308"/>
      <c r="E223" s="283"/>
      <c r="F223" s="279"/>
      <c r="G223" s="279"/>
      <c r="H223" s="279"/>
      <c r="I223" s="279"/>
      <c r="J223" s="115" t="str">
        <f>IF(AND('Mapa final'!$AB$52="Muy Baja",'Mapa final'!$AD$52="Leve"),CONCATENATE("R18C",'Mapa final'!$R$52),"")</f>
        <v/>
      </c>
      <c r="K223" s="54" t="str">
        <f>IF(AND('Mapa final'!$AB$53="Muy Baja",'Mapa final'!$AD$53="Leve"),CONCATENATE("R18C",'Mapa final'!$R$53),"")</f>
        <v/>
      </c>
      <c r="L223" s="116" t="str">
        <f>IF(AND('Mapa final'!$AB$54="Muy Baja",'Mapa final'!$AD$54="Leve"),CONCATENATE("R18C",'Mapa final'!$R$54),"")</f>
        <v/>
      </c>
      <c r="M223" s="115" t="str">
        <f>IF(AND('Mapa final'!$AB$52="Muy Baja",'Mapa final'!$AD$52="Menor"),CONCATENATE("R18C",'Mapa final'!$R$52),"")</f>
        <v/>
      </c>
      <c r="N223" s="54" t="str">
        <f>IF(AND('Mapa final'!$AB$53="Muy Baja",'Mapa final'!$AD$53="Menor"),CONCATENATE("R18C",'Mapa final'!$R$53),"")</f>
        <v/>
      </c>
      <c r="O223" s="116" t="str">
        <f>IF(AND('Mapa final'!$AB$54="Muy Baja",'Mapa final'!$AD$54="Menor"),CONCATENATE("R18C",'Mapa final'!$R$54),"")</f>
        <v/>
      </c>
      <c r="P223" s="49" t="str">
        <f>IF(AND('Mapa final'!$AB$52="Muy Baja",'Mapa final'!$AD$52="Moderado"),CONCATENATE("R18C",'Mapa final'!$R$52),"")</f>
        <v/>
      </c>
      <c r="Q223" s="50" t="str">
        <f>IF(AND('Mapa final'!$AB$53="Muy Baja",'Mapa final'!$AD$53="Moderado"),CONCATENATE("R18C",'Mapa final'!$R$53),"")</f>
        <v/>
      </c>
      <c r="R223" s="111" t="str">
        <f>IF(AND('Mapa final'!$AB$54="Muy Baja",'Mapa final'!$AD$54="Moderado"),CONCATENATE("R18C",'Mapa final'!$R$54),"")</f>
        <v/>
      </c>
      <c r="S223" s="105" t="str">
        <f>IF(AND('Mapa final'!$AB$52="Muy Baja",'Mapa final'!$AD$52="Mayor"),CONCATENATE("R18C",'Mapa final'!$R$52),"")</f>
        <v/>
      </c>
      <c r="T223" s="42" t="str">
        <f>IF(AND('Mapa final'!$AB$53="Muy Baja",'Mapa final'!$AD$53="Mayor"),CONCATENATE("R18C",'Mapa final'!$R$53),"")</f>
        <v/>
      </c>
      <c r="U223" s="106" t="str">
        <f>IF(AND('Mapa final'!$AB$54="Muy Baja",'Mapa final'!$AD$54="Mayor"),CONCATENATE("R18C",'Mapa final'!$R$54),"")</f>
        <v/>
      </c>
      <c r="V223" s="43" t="str">
        <f>IF(AND('Mapa final'!$AB$52="Muy Baja",'Mapa final'!$AD$52="Catastrófico"),CONCATENATE("R18C",'Mapa final'!$R$52),"")</f>
        <v/>
      </c>
      <c r="W223" s="44" t="str">
        <f>IF(AND('Mapa final'!$AB$53="Muy Baja",'Mapa final'!$AD$53="Catastrófico"),CONCATENATE("R18C",'Mapa final'!$R$53),"")</f>
        <v/>
      </c>
      <c r="X223" s="100" t="str">
        <f>IF(AND('Mapa final'!$AB$54="Muy Baja",'Mapa final'!$AD$54="Catastrófico"),CONCATENATE("R18C",'Mapa final'!$R$54),"")</f>
        <v/>
      </c>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row>
    <row r="224" spans="1:65" ht="15.5" x14ac:dyDescent="0.35">
      <c r="A224" s="56"/>
      <c r="B224" s="307"/>
      <c r="C224" s="307"/>
      <c r="D224" s="308"/>
      <c r="E224" s="283"/>
      <c r="F224" s="279"/>
      <c r="G224" s="279"/>
      <c r="H224" s="279"/>
      <c r="I224" s="279"/>
      <c r="J224" s="115" t="str">
        <f>IF(AND('Mapa final'!$AB$55="Muy Baja",'Mapa final'!$AD$55="Leve"),CONCATENATE("R19C",'Mapa final'!$R$55),"")</f>
        <v/>
      </c>
      <c r="K224" s="54" t="str">
        <f>IF(AND('Mapa final'!$AB$56="Muy Baja",'Mapa final'!$AD$56="Leve"),CONCATENATE("R19C",'Mapa final'!$R$56),"")</f>
        <v/>
      </c>
      <c r="L224" s="116" t="str">
        <f>IF(AND('Mapa final'!$AB$57="Muy Baja",'Mapa final'!$AD$57="Leve"),CONCATENATE("R19C",'Mapa final'!$R$57),"")</f>
        <v/>
      </c>
      <c r="M224" s="115" t="str">
        <f>IF(AND('Mapa final'!$AB$55="Muy Baja",'Mapa final'!$AD$55="Menor"),CONCATENATE("R19C",'Mapa final'!$R$55),"")</f>
        <v/>
      </c>
      <c r="N224" s="54" t="str">
        <f>IF(AND('Mapa final'!$AB$56="Muy Baja",'Mapa final'!$AD$56="Menor"),CONCATENATE("R19C",'Mapa final'!$R$56),"")</f>
        <v/>
      </c>
      <c r="O224" s="116" t="str">
        <f>IF(AND('Mapa final'!$AB$57="Muy Baja",'Mapa final'!$AD$57="Menor"),CONCATENATE("R19C",'Mapa final'!$R$57),"")</f>
        <v/>
      </c>
      <c r="P224" s="49" t="str">
        <f>IF(AND('Mapa final'!$AB$55="Muy Baja",'Mapa final'!$AD$55="Moderado"),CONCATENATE("R19C",'Mapa final'!$R$55),"")</f>
        <v/>
      </c>
      <c r="Q224" s="50" t="str">
        <f>IF(AND('Mapa final'!$AB$56="Muy Baja",'Mapa final'!$AD$56="Moderado"),CONCATENATE("R19C",'Mapa final'!$R$56),"")</f>
        <v/>
      </c>
      <c r="R224" s="111" t="str">
        <f>IF(AND('Mapa final'!$AB$57="Muy Baja",'Mapa final'!$AD$57="Moderado"),CONCATENATE("R19C",'Mapa final'!$R$57),"")</f>
        <v/>
      </c>
      <c r="S224" s="105" t="str">
        <f>IF(AND('Mapa final'!$AB$55="Muy Baja",'Mapa final'!$AD$55="Mayor"),CONCATENATE("R19C",'Mapa final'!$R$55),"")</f>
        <v/>
      </c>
      <c r="T224" s="42" t="str">
        <f>IF(AND('Mapa final'!$AB$56="Muy Baja",'Mapa final'!$AD$56="Mayor"),CONCATENATE("R19C",'Mapa final'!$R$56),"")</f>
        <v/>
      </c>
      <c r="U224" s="106" t="str">
        <f>IF(AND('Mapa final'!$AB$57="Muy Baja",'Mapa final'!$AD$57="Mayor"),CONCATENATE("R19C",'Mapa final'!$R$57),"")</f>
        <v/>
      </c>
      <c r="V224" s="43" t="str">
        <f>IF(AND('Mapa final'!$AB$55="Muy Baja",'Mapa final'!$AD$55="Catastrófico"),CONCATENATE("R19C",'Mapa final'!$R$55),"")</f>
        <v/>
      </c>
      <c r="W224" s="44" t="str">
        <f>IF(AND('Mapa final'!$AB$56="Muy Baja",'Mapa final'!$AD$56="Catastrófico"),CONCATENATE("R19C",'Mapa final'!$R$56),"")</f>
        <v/>
      </c>
      <c r="X224" s="100" t="str">
        <f>IF(AND('Mapa final'!$AB$57="Muy Baja",'Mapa final'!$AD$57="Catastrófico"),CONCATENATE("R19C",'Mapa final'!$R$57),"")</f>
        <v/>
      </c>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row>
    <row r="225" spans="1:65" ht="15.5" x14ac:dyDescent="0.35">
      <c r="A225" s="56"/>
      <c r="B225" s="307"/>
      <c r="C225" s="307"/>
      <c r="D225" s="308"/>
      <c r="E225" s="283"/>
      <c r="F225" s="279"/>
      <c r="G225" s="279"/>
      <c r="H225" s="279"/>
      <c r="I225" s="279"/>
      <c r="J225" s="115" t="str">
        <f>IF(AND('Mapa final'!$AB$58="Muy Baja",'Mapa final'!$AD$58="Leve"),CONCATENATE("R20C",'Mapa final'!$R$58),"")</f>
        <v/>
      </c>
      <c r="K225" s="54" t="str">
        <f>IF(AND('Mapa final'!$AB$59="Muy Baja",'Mapa final'!$AD$59="Leve"),CONCATENATE("R20C",'Mapa final'!$R$59),"")</f>
        <v/>
      </c>
      <c r="L225" s="116" t="str">
        <f>IF(AND('Mapa final'!$AB$60="Muy Baja",'Mapa final'!$AD$60="Leve"),CONCATENATE("R20C",'Mapa final'!$R$60),"")</f>
        <v/>
      </c>
      <c r="M225" s="115" t="str">
        <f>IF(AND('Mapa final'!$AB$58="Muy Baja",'Mapa final'!$AD$58="Menor"),CONCATENATE("R20C",'Mapa final'!$R$58),"")</f>
        <v/>
      </c>
      <c r="N225" s="54" t="str">
        <f>IF(AND('Mapa final'!$AB$59="Muy Baja",'Mapa final'!$AD$59="Menor"),CONCATENATE("R20C",'Mapa final'!$R$59),"")</f>
        <v/>
      </c>
      <c r="O225" s="116" t="str">
        <f>IF(AND('Mapa final'!$AB$60="Muy Baja",'Mapa final'!$AD$60="Menor"),CONCATENATE("R20C",'Mapa final'!$R$60),"")</f>
        <v/>
      </c>
      <c r="P225" s="49" t="str">
        <f>IF(AND('Mapa final'!$AB$58="Muy Baja",'Mapa final'!$AD$58="Moderado"),CONCATENATE("R20C",'Mapa final'!$R$58),"")</f>
        <v/>
      </c>
      <c r="Q225" s="50" t="str">
        <f>IF(AND('Mapa final'!$AB$59="Muy Baja",'Mapa final'!$AD$59="Moderado"),CONCATENATE("R20C",'Mapa final'!$R$59),"")</f>
        <v/>
      </c>
      <c r="R225" s="111" t="str">
        <f>IF(AND('Mapa final'!$AB$60="Muy Baja",'Mapa final'!$AD$60="Moderado"),CONCATENATE("R20C",'Mapa final'!$R$60),"")</f>
        <v/>
      </c>
      <c r="S225" s="105" t="str">
        <f>IF(AND('Mapa final'!$AB$58="Muy Baja",'Mapa final'!$AD$58="Mayor"),CONCATENATE("R20C",'Mapa final'!$R$58),"")</f>
        <v/>
      </c>
      <c r="T225" s="42" t="str">
        <f>IF(AND('Mapa final'!$AB$59="Muy Baja",'Mapa final'!$AD$59="Mayor"),CONCATENATE("R20C",'Mapa final'!$R$59),"")</f>
        <v/>
      </c>
      <c r="U225" s="106" t="str">
        <f>IF(AND('Mapa final'!$AB$60="Muy Baja",'Mapa final'!$AD$60="Mayor"),CONCATENATE("R20C",'Mapa final'!$R$60),"")</f>
        <v/>
      </c>
      <c r="V225" s="43" t="str">
        <f>IF(AND('Mapa final'!$AB$58="Muy Baja",'Mapa final'!$AD$58="Catastrófico"),CONCATENATE("R20C",'Mapa final'!$R$58),"")</f>
        <v/>
      </c>
      <c r="W225" s="44" t="str">
        <f>IF(AND('Mapa final'!$AB$59="Muy Baja",'Mapa final'!$AD$59="Catastrófico"),CONCATENATE("R20C",'Mapa final'!$R$59),"")</f>
        <v/>
      </c>
      <c r="X225" s="100" t="str">
        <f>IF(AND('Mapa final'!$AB$60="Muy Baja",'Mapa final'!$AD$60="Catastrófico"),CONCATENATE("R20C",'Mapa final'!$R$60),"")</f>
        <v/>
      </c>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row>
    <row r="226" spans="1:65" ht="15.5" x14ac:dyDescent="0.35">
      <c r="A226" s="56"/>
      <c r="B226" s="307"/>
      <c r="C226" s="307"/>
      <c r="D226" s="308"/>
      <c r="E226" s="283"/>
      <c r="F226" s="279"/>
      <c r="G226" s="279"/>
      <c r="H226" s="279"/>
      <c r="I226" s="279"/>
      <c r="J226" s="115" t="str">
        <f>IF(AND('Mapa final'!$AB$61="Muy Baja",'Mapa final'!$AD$61="Leve"),CONCATENATE("R21C",'Mapa final'!$R$61),"")</f>
        <v/>
      </c>
      <c r="K226" s="54" t="str">
        <f>IF(AND('Mapa final'!$AB$62="Muy Baja",'Mapa final'!$AD$62="Leve"),CONCATENATE("R21C",'Mapa final'!$R$62),"")</f>
        <v/>
      </c>
      <c r="L226" s="116" t="str">
        <f>IF(AND('Mapa final'!$AB$63="Muy Baja",'Mapa final'!$AD$63="Leve"),CONCATENATE("R21C",'Mapa final'!$R$63),"")</f>
        <v/>
      </c>
      <c r="M226" s="115" t="str">
        <f>IF(AND('Mapa final'!$AB$61="Muy Baja",'Mapa final'!$AD$61="Menor"),CONCATENATE("R21C",'Mapa final'!$R$61),"")</f>
        <v/>
      </c>
      <c r="N226" s="54" t="str">
        <f>IF(AND('Mapa final'!$AB$62="Muy Baja",'Mapa final'!$AD$62="Menor"),CONCATENATE("R21C",'Mapa final'!$R$62),"")</f>
        <v/>
      </c>
      <c r="O226" s="116" t="str">
        <f>IF(AND('Mapa final'!$AB$63="Muy Baja",'Mapa final'!$AD$63="Menor"),CONCATENATE("R21C",'Mapa final'!$R$63),"")</f>
        <v/>
      </c>
      <c r="P226" s="49" t="str">
        <f>IF(AND('Mapa final'!$AB$61="Muy Baja",'Mapa final'!$AD$61="Moderado"),CONCATENATE("R21C",'Mapa final'!$R$61),"")</f>
        <v/>
      </c>
      <c r="Q226" s="50" t="str">
        <f>IF(AND('Mapa final'!$AB$62="Muy Baja",'Mapa final'!$AD$62="Moderado"),CONCATENATE("R21C",'Mapa final'!$R$62),"")</f>
        <v/>
      </c>
      <c r="R226" s="111" t="str">
        <f>IF(AND('Mapa final'!$AB$63="Muy Baja",'Mapa final'!$AD$63="Moderado"),CONCATENATE("R21C",'Mapa final'!$R$63),"")</f>
        <v/>
      </c>
      <c r="S226" s="105" t="str">
        <f>IF(AND('Mapa final'!$AB$61="Muy Baja",'Mapa final'!$AD$61="Mayor"),CONCATENATE("R21C",'Mapa final'!$R$61),"")</f>
        <v/>
      </c>
      <c r="T226" s="42" t="str">
        <f>IF(AND('Mapa final'!$AB$62="Muy Baja",'Mapa final'!$AD$62="Mayor"),CONCATENATE("R21C",'Mapa final'!$R$62),"")</f>
        <v/>
      </c>
      <c r="U226" s="106" t="str">
        <f>IF(AND('Mapa final'!$AB$63="Muy Baja",'Mapa final'!$AD$63="Mayor"),CONCATENATE("R21C",'Mapa final'!$R$63),"")</f>
        <v/>
      </c>
      <c r="V226" s="43" t="str">
        <f>IF(AND('Mapa final'!$AB$61="Muy Baja",'Mapa final'!$AD$61="Catastrófico"),CONCATENATE("R21C",'Mapa final'!$R$61),"")</f>
        <v/>
      </c>
      <c r="W226" s="44" t="str">
        <f>IF(AND('Mapa final'!$AB$62="Muy Baja",'Mapa final'!$AD$62="Catastrófico"),CONCATENATE("R21C",'Mapa final'!$R$62),"")</f>
        <v/>
      </c>
      <c r="X226" s="100" t="str">
        <f>IF(AND('Mapa final'!$AB$63="Muy Baja",'Mapa final'!$AD$63="Catastrófico"),CONCATENATE("R21C",'Mapa final'!$R$63),"")</f>
        <v/>
      </c>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row>
    <row r="227" spans="1:65" ht="15.5" x14ac:dyDescent="0.35">
      <c r="A227" s="56"/>
      <c r="B227" s="307"/>
      <c r="C227" s="307"/>
      <c r="D227" s="308"/>
      <c r="E227" s="283"/>
      <c r="F227" s="279"/>
      <c r="G227" s="279"/>
      <c r="H227" s="279"/>
      <c r="I227" s="279"/>
      <c r="J227" s="115" t="str">
        <f>IF(AND('Mapa final'!$AB$64="Muy Baja",'Mapa final'!$AD$64="Leve"),CONCATENATE("R22C",'Mapa final'!$R$64),"")</f>
        <v/>
      </c>
      <c r="K227" s="54" t="str">
        <f>IF(AND('Mapa final'!$AB$65="Muy Baja",'Mapa final'!$AD$65="Leve"),CONCATENATE("R22C",'Mapa final'!$R$65),"")</f>
        <v/>
      </c>
      <c r="L227" s="116" t="str">
        <f>IF(AND('Mapa final'!$AB$66="Muy Baja",'Mapa final'!$AD$66="Leve"),CONCATENATE("R22C",'Mapa final'!$R$66),"")</f>
        <v/>
      </c>
      <c r="M227" s="115" t="str">
        <f>IF(AND('Mapa final'!$AB$64="Muy Baja",'Mapa final'!$AD$64="Menor"),CONCATENATE("R22C",'Mapa final'!$R$64),"")</f>
        <v/>
      </c>
      <c r="N227" s="54" t="str">
        <f>IF(AND('Mapa final'!$AB$65="Muy Baja",'Mapa final'!$AD$65="Menor"),CONCATENATE("R22C",'Mapa final'!$R$65),"")</f>
        <v/>
      </c>
      <c r="O227" s="116" t="str">
        <f>IF(AND('Mapa final'!$AB$66="Muy Baja",'Mapa final'!$AD$66="Menor"),CONCATENATE("R22C",'Mapa final'!$R$66),"")</f>
        <v/>
      </c>
      <c r="P227" s="49" t="str">
        <f>IF(AND('Mapa final'!$AB$64="Muy Baja",'Mapa final'!$AD$64="Moderado"),CONCATENATE("R22C",'Mapa final'!$R$64),"")</f>
        <v/>
      </c>
      <c r="Q227" s="50" t="str">
        <f>IF(AND('Mapa final'!$AB$65="Muy Baja",'Mapa final'!$AD$65="Moderado"),CONCATENATE("R22C",'Mapa final'!$R$65),"")</f>
        <v/>
      </c>
      <c r="R227" s="111" t="str">
        <f>IF(AND('Mapa final'!$AB$66="Muy Baja",'Mapa final'!$AD$66="Moderado"),CONCATENATE("R22C",'Mapa final'!$R$66),"")</f>
        <v/>
      </c>
      <c r="S227" s="105" t="str">
        <f>IF(AND('Mapa final'!$AB$64="Muy Baja",'Mapa final'!$AD$64="Mayor"),CONCATENATE("R22C",'Mapa final'!$R$64),"")</f>
        <v/>
      </c>
      <c r="T227" s="42" t="str">
        <f>IF(AND('Mapa final'!$AB$65="Muy Baja",'Mapa final'!$AD$65="Mayor"),CONCATENATE("R22C",'Mapa final'!$R$65),"")</f>
        <v/>
      </c>
      <c r="U227" s="106" t="str">
        <f>IF(AND('Mapa final'!$AB$66="Muy Baja",'Mapa final'!$AD$66="Mayor"),CONCATENATE("R22C",'Mapa final'!$R$66),"")</f>
        <v/>
      </c>
      <c r="V227" s="43" t="str">
        <f>IF(AND('Mapa final'!$AB$64="Muy Baja",'Mapa final'!$AD$64="Catastrófico"),CONCATENATE("R22C",'Mapa final'!$R$64),"")</f>
        <v/>
      </c>
      <c r="W227" s="44" t="str">
        <f>IF(AND('Mapa final'!$AB$65="Muy Baja",'Mapa final'!$AD$65="Catastrófico"),CONCATENATE("R22C",'Mapa final'!$R$65),"")</f>
        <v/>
      </c>
      <c r="X227" s="100" t="str">
        <f>IF(AND('Mapa final'!$AB$66="Muy Baja",'Mapa final'!$AD$66="Catastrófico"),CONCATENATE("R22C",'Mapa final'!$R$66),"")</f>
        <v/>
      </c>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row>
    <row r="228" spans="1:65" ht="15.5" x14ac:dyDescent="0.35">
      <c r="A228" s="56"/>
      <c r="B228" s="307"/>
      <c r="C228" s="307"/>
      <c r="D228" s="308"/>
      <c r="E228" s="283"/>
      <c r="F228" s="279"/>
      <c r="G228" s="279"/>
      <c r="H228" s="279"/>
      <c r="I228" s="279"/>
      <c r="J228" s="115" t="str">
        <f>IF(AND('Mapa final'!$AB$70="Muy Baja",'Mapa final'!$AD$70="Leve"),CONCATENATE("R23C",'Mapa final'!$R$70),"")</f>
        <v/>
      </c>
      <c r="K228" s="54" t="str">
        <f>IF(AND('Mapa final'!$AB$71="Muy Baja",'Mapa final'!$AD$71="Leve"),CONCATENATE("R23C",'Mapa final'!$R$71),"")</f>
        <v/>
      </c>
      <c r="L228" s="116" t="str">
        <f>IF(AND('Mapa final'!$AB$72="Muy Baja",'Mapa final'!$AD$72="Leve"),CONCATENATE("R23C",'Mapa final'!$R$72),"")</f>
        <v/>
      </c>
      <c r="M228" s="115" t="str">
        <f>IF(AND('Mapa final'!$AB$70="Muy Baja",'Mapa final'!$AD$70="Menor"),CONCATENATE("R23C",'Mapa final'!$R$70),"")</f>
        <v/>
      </c>
      <c r="N228" s="54" t="str">
        <f>IF(AND('Mapa final'!$AB$71="Muy Baja",'Mapa final'!$AD$71="Menor"),CONCATENATE("R23C",'Mapa final'!$R$71),"")</f>
        <v/>
      </c>
      <c r="O228" s="116" t="str">
        <f>IF(AND('Mapa final'!$AB$72="Muy Baja",'Mapa final'!$AD$72="Menor"),CONCATENATE("R23C",'Mapa final'!$R$72),"")</f>
        <v/>
      </c>
      <c r="P228" s="49" t="str">
        <f>IF(AND('Mapa final'!$AB$70="Muy Baja",'Mapa final'!$AD$70="Moderado"),CONCATENATE("R23C",'Mapa final'!$R$70),"")</f>
        <v/>
      </c>
      <c r="Q228" s="50" t="str">
        <f>IF(AND('Mapa final'!$AB$71="Muy Baja",'Mapa final'!$AD$71="Moderado"),CONCATENATE("R23C",'Mapa final'!$R$71),"")</f>
        <v/>
      </c>
      <c r="R228" s="111" t="str">
        <f>IF(AND('Mapa final'!$AB$72="Muy Baja",'Mapa final'!$AD$72="Moderado"),CONCATENATE("R23C",'Mapa final'!$R$72),"")</f>
        <v/>
      </c>
      <c r="S228" s="105" t="str">
        <f>IF(AND('Mapa final'!$AB$70="Muy Baja",'Mapa final'!$AD$70="Mayor"),CONCATENATE("R23C",'Mapa final'!$R$70),"")</f>
        <v/>
      </c>
      <c r="T228" s="42" t="str">
        <f>IF(AND('Mapa final'!$AB$71="Muy Baja",'Mapa final'!$AD$71="Mayor"),CONCATENATE("R23C",'Mapa final'!$R$71),"")</f>
        <v/>
      </c>
      <c r="U228" s="106" t="str">
        <f>IF(AND('Mapa final'!$AB$72="Muy Baja",'Mapa final'!$AD$72="Mayor"),CONCATENATE("R23C",'Mapa final'!$R$72),"")</f>
        <v/>
      </c>
      <c r="V228" s="43" t="str">
        <f>IF(AND('Mapa final'!$AB$70="Muy Baja",'Mapa final'!$AD$70="Catastrófico"),CONCATENATE("R23C",'Mapa final'!$R$70),"")</f>
        <v/>
      </c>
      <c r="W228" s="44" t="str">
        <f>IF(AND('Mapa final'!$AB$71="Muy Baja",'Mapa final'!$AD$71="Catastrófico"),CONCATENATE("R23C",'Mapa final'!$R$71),"")</f>
        <v/>
      </c>
      <c r="X228" s="100" t="str">
        <f>IF(AND('Mapa final'!$AB$72="Muy Baja",'Mapa final'!$AD$72="Catastrófico"),CONCATENATE("R23C",'Mapa final'!$R$72),"")</f>
        <v/>
      </c>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row>
    <row r="229" spans="1:65" ht="15.5" x14ac:dyDescent="0.35">
      <c r="A229" s="56"/>
      <c r="B229" s="307"/>
      <c r="C229" s="307"/>
      <c r="D229" s="308"/>
      <c r="E229" s="283"/>
      <c r="F229" s="279"/>
      <c r="G229" s="279"/>
      <c r="H229" s="279"/>
      <c r="I229" s="279"/>
      <c r="J229" s="115" t="str">
        <f>IF(AND('Mapa final'!$AB$73="Muy Baja",'Mapa final'!$AD$73="Leve"),CONCATENATE("R24C",'Mapa final'!$R$73),"")</f>
        <v/>
      </c>
      <c r="K229" s="54" t="str">
        <f>IF(AND('Mapa final'!$AB$74="Muy Baja",'Mapa final'!$AD$74="Leve"),CONCATENATE("R24C",'Mapa final'!$R$74),"")</f>
        <v/>
      </c>
      <c r="L229" s="116" t="str">
        <f>IF(AND('Mapa final'!$AB$75="Muy Baja",'Mapa final'!$AD$75="Leve"),CONCATENATE("R24C",'Mapa final'!$R$75),"")</f>
        <v/>
      </c>
      <c r="M229" s="115" t="str">
        <f>IF(AND('Mapa final'!$AB$73="Muy Baja",'Mapa final'!$AD$73="Menor"),CONCATENATE("R24C",'Mapa final'!$R$73),"")</f>
        <v/>
      </c>
      <c r="N229" s="54" t="str">
        <f>IF(AND('Mapa final'!$AB$74="Muy Baja",'Mapa final'!$AD$74="Menor"),CONCATENATE("R24C",'Mapa final'!$R$74),"")</f>
        <v/>
      </c>
      <c r="O229" s="116" t="str">
        <f>IF(AND('Mapa final'!$AB$75="Muy Baja",'Mapa final'!$AD$75="Menor"),CONCATENATE("R24C",'Mapa final'!$R$75),"")</f>
        <v/>
      </c>
      <c r="P229" s="49" t="str">
        <f>IF(AND('Mapa final'!$AB$73="Muy Baja",'Mapa final'!$AD$73="Moderado"),CONCATENATE("R24C",'Mapa final'!$R$73),"")</f>
        <v/>
      </c>
      <c r="Q229" s="50" t="str">
        <f>IF(AND('Mapa final'!$AB$74="Muy Baja",'Mapa final'!$AD$74="Moderado"),CONCATENATE("R24C",'Mapa final'!$R$74),"")</f>
        <v/>
      </c>
      <c r="R229" s="111" t="str">
        <f>IF(AND('Mapa final'!$AB$75="Muy Baja",'Mapa final'!$AD$75="Moderado"),CONCATENATE("R24C",'Mapa final'!$R$75),"")</f>
        <v/>
      </c>
      <c r="S229" s="105" t="str">
        <f>IF(AND('Mapa final'!$AB$73="Muy Baja",'Mapa final'!$AD$73="Mayor"),CONCATENATE("R24C",'Mapa final'!$R$73),"")</f>
        <v/>
      </c>
      <c r="T229" s="42" t="str">
        <f>IF(AND('Mapa final'!$AB$74="Muy Baja",'Mapa final'!$AD$74="Mayor"),CONCATENATE("R24C",'Mapa final'!$R$74),"")</f>
        <v/>
      </c>
      <c r="U229" s="106" t="str">
        <f>IF(AND('Mapa final'!$AB$75="Muy Baja",'Mapa final'!$AD$75="Mayor"),CONCATENATE("R24C",'Mapa final'!$R$75),"")</f>
        <v/>
      </c>
      <c r="V229" s="43" t="str">
        <f>IF(AND('Mapa final'!$AB$73="Muy Baja",'Mapa final'!$AD$73="Catastrófico"),CONCATENATE("R24C",'Mapa final'!$R$73),"")</f>
        <v/>
      </c>
      <c r="W229" s="44" t="str">
        <f>IF(AND('Mapa final'!$AB$74="Muy Baja",'Mapa final'!$AD$74="Catastrófico"),CONCATENATE("R24C",'Mapa final'!$R$74),"")</f>
        <v/>
      </c>
      <c r="X229" s="100" t="str">
        <f>IF(AND('Mapa final'!$AB$75="Muy Baja",'Mapa final'!$AD$75="Catastrófico"),CONCATENATE("R24C",'Mapa final'!$R$75),"")</f>
        <v/>
      </c>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row>
    <row r="230" spans="1:65" ht="15.5" x14ac:dyDescent="0.35">
      <c r="A230" s="56"/>
      <c r="B230" s="307"/>
      <c r="C230" s="307"/>
      <c r="D230" s="308"/>
      <c r="E230" s="283"/>
      <c r="F230" s="279"/>
      <c r="G230" s="279"/>
      <c r="H230" s="279"/>
      <c r="I230" s="279"/>
      <c r="J230" s="115" t="str">
        <f>IF(AND('Mapa final'!$AB$76="Muy Baja",'Mapa final'!$AD$76="Leve"),CONCATENATE("R25C",'Mapa final'!$R$76),"")</f>
        <v/>
      </c>
      <c r="K230" s="54" t="str">
        <f>IF(AND('Mapa final'!$AB$77="Muy Baja",'Mapa final'!$AD$77="Leve"),CONCATENATE("R25C",'Mapa final'!$R$77),"")</f>
        <v/>
      </c>
      <c r="L230" s="116" t="str">
        <f>IF(AND('Mapa final'!$AB$78="Muy Baja",'Mapa final'!$AD$78="Leve"),CONCATENATE("R25C",'Mapa final'!$R$78),"")</f>
        <v/>
      </c>
      <c r="M230" s="115" t="str">
        <f>IF(AND('Mapa final'!$AB$76="Muy Baja",'Mapa final'!$AD$76="Menor"),CONCATENATE("R25C",'Mapa final'!$R$76),"")</f>
        <v/>
      </c>
      <c r="N230" s="54" t="str">
        <f>IF(AND('Mapa final'!$AB$77="Muy Baja",'Mapa final'!$AD$77="Menor"),CONCATENATE("R25C",'Mapa final'!$R$77),"")</f>
        <v/>
      </c>
      <c r="O230" s="116" t="str">
        <f>IF(AND('Mapa final'!$AB$78="Muy Baja",'Mapa final'!$AD$78="Menor"),CONCATENATE("R25C",'Mapa final'!$R$78),"")</f>
        <v/>
      </c>
      <c r="P230" s="49" t="str">
        <f>IF(AND('Mapa final'!$AB$76="Muy Baja",'Mapa final'!$AD$76="Moderado"),CONCATENATE("R25C",'Mapa final'!$R$76),"")</f>
        <v/>
      </c>
      <c r="Q230" s="50" t="str">
        <f>IF(AND('Mapa final'!$AB$77="Muy Baja",'Mapa final'!$AD$77="Moderado"),CONCATENATE("R25C",'Mapa final'!$R$77),"")</f>
        <v>R25C2</v>
      </c>
      <c r="R230" s="111" t="str">
        <f>IF(AND('Mapa final'!$AB$78="Muy Baja",'Mapa final'!$AD$78="Moderado"),CONCATENATE("R25C",'Mapa final'!$R$78),"")</f>
        <v>R25C3</v>
      </c>
      <c r="S230" s="105" t="str">
        <f>IF(AND('Mapa final'!$AB$76="Muy Baja",'Mapa final'!$AD$76="Mayor"),CONCATENATE("R25C",'Mapa final'!$R$76),"")</f>
        <v/>
      </c>
      <c r="T230" s="42" t="str">
        <f>IF(AND('Mapa final'!$AB$77="Muy Baja",'Mapa final'!$AD$77="Mayor"),CONCATENATE("R25C",'Mapa final'!$R$77),"")</f>
        <v/>
      </c>
      <c r="U230" s="106" t="str">
        <f>IF(AND('Mapa final'!$AB$78="Muy Baja",'Mapa final'!$AD$78="Mayor"),CONCATENATE("R25C",'Mapa final'!$R$78),"")</f>
        <v/>
      </c>
      <c r="V230" s="43" t="str">
        <f>IF(AND('Mapa final'!$AB$76="Muy Baja",'Mapa final'!$AD$76="Catastrófico"),CONCATENATE("R25C",'Mapa final'!$R$76),"")</f>
        <v/>
      </c>
      <c r="W230" s="44" t="str">
        <f>IF(AND('Mapa final'!$AB$77="Muy Baja",'Mapa final'!$AD$77="Catastrófico"),CONCATENATE("R25C",'Mapa final'!$R$77),"")</f>
        <v/>
      </c>
      <c r="X230" s="100" t="str">
        <f>IF(AND('Mapa final'!$AB$78="Muy Baja",'Mapa final'!$AD$78="Catastrófico"),CONCATENATE("R25C",'Mapa final'!$R$78),"")</f>
        <v/>
      </c>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row>
    <row r="231" spans="1:65" ht="15.5" x14ac:dyDescent="0.35">
      <c r="A231" s="56"/>
      <c r="B231" s="307"/>
      <c r="C231" s="307"/>
      <c r="D231" s="308"/>
      <c r="E231" s="283"/>
      <c r="F231" s="279"/>
      <c r="G231" s="279"/>
      <c r="H231" s="279"/>
      <c r="I231" s="279"/>
      <c r="J231" s="115" t="str">
        <f>IF(AND('Mapa final'!$AB$79="Muy Baja",'Mapa final'!$AD$79="Leve"),CONCATENATE("R26C",'Mapa final'!$R$79),"")</f>
        <v/>
      </c>
      <c r="K231" s="54" t="str">
        <f>IF(AND('Mapa final'!$AB$80="Muy Baja",'Mapa final'!$AD$80="Leve"),CONCATENATE("R26C",'Mapa final'!$R$80),"")</f>
        <v/>
      </c>
      <c r="L231" s="116" t="str">
        <f>IF(AND('Mapa final'!$AB$81="Muy Baja",'Mapa final'!$AD$81="Leve"),CONCATENATE("R26C",'Mapa final'!$R$81),"")</f>
        <v/>
      </c>
      <c r="M231" s="115" t="str">
        <f>IF(AND('Mapa final'!$AB$79="Muy Baja",'Mapa final'!$AD$79="Menor"),CONCATENATE("R26C",'Mapa final'!$R$79),"")</f>
        <v/>
      </c>
      <c r="N231" s="54" t="str">
        <f>IF(AND('Mapa final'!$AB$80="Muy Baja",'Mapa final'!$AD$80="Menor"),CONCATENATE("R26C",'Mapa final'!$R$80),"")</f>
        <v/>
      </c>
      <c r="O231" s="116" t="str">
        <f>IF(AND('Mapa final'!$AB$81="Muy Baja",'Mapa final'!$AD$81="Menor"),CONCATENATE("R26C",'Mapa final'!$R$81),"")</f>
        <v/>
      </c>
      <c r="P231" s="49" t="str">
        <f>IF(AND('Mapa final'!$AB$79="Muy Baja",'Mapa final'!$AD$79="Moderado"),CONCATENATE("R26C",'Mapa final'!$R$79),"")</f>
        <v>R26C1</v>
      </c>
      <c r="Q231" s="50" t="str">
        <f>IF(AND('Mapa final'!$AB$80="Muy Baja",'Mapa final'!$AD$80="Moderado"),CONCATENATE("R26C",'Mapa final'!$R$80),"")</f>
        <v>R26C2</v>
      </c>
      <c r="R231" s="111" t="str">
        <f>IF(AND('Mapa final'!$AB$81="Muy Baja",'Mapa final'!$AD$81="Moderado"),CONCATENATE("R26C",'Mapa final'!$R$81),"")</f>
        <v>R26C3</v>
      </c>
      <c r="S231" s="105" t="str">
        <f>IF(AND('Mapa final'!$AB$79="Muy Baja",'Mapa final'!$AD$79="Mayor"),CONCATENATE("R26C",'Mapa final'!$R$79),"")</f>
        <v/>
      </c>
      <c r="T231" s="42" t="str">
        <f>IF(AND('Mapa final'!$AB$80="Muy Baja",'Mapa final'!$AD$80="Mayor"),CONCATENATE("R26C",'Mapa final'!$R$80),"")</f>
        <v/>
      </c>
      <c r="U231" s="106" t="str">
        <f>IF(AND('Mapa final'!$AB$81="Muy Baja",'Mapa final'!$AD$81="Mayor"),CONCATENATE("R26C",'Mapa final'!$R$81),"")</f>
        <v/>
      </c>
      <c r="V231" s="43" t="str">
        <f>IF(AND('Mapa final'!$AB$79="Muy Baja",'Mapa final'!$AD$79="Catastrófico"),CONCATENATE("R26C",'Mapa final'!$R$79),"")</f>
        <v/>
      </c>
      <c r="W231" s="44" t="str">
        <f>IF(AND('Mapa final'!$AB$80="Muy Baja",'Mapa final'!$AD$80="Catastrófico"),CONCATENATE("R26C",'Mapa final'!$R$80),"")</f>
        <v/>
      </c>
      <c r="X231" s="100" t="str">
        <f>IF(AND('Mapa final'!$AB$81="Muy Baja",'Mapa final'!$AD$81="Catastrófico"),CONCATENATE("R26C",'Mapa final'!$R$81),"")</f>
        <v/>
      </c>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row>
    <row r="232" spans="1:65" ht="15.5" x14ac:dyDescent="0.35">
      <c r="A232" s="56"/>
      <c r="B232" s="307"/>
      <c r="C232" s="307"/>
      <c r="D232" s="308"/>
      <c r="E232" s="283"/>
      <c r="F232" s="279"/>
      <c r="G232" s="279"/>
      <c r="H232" s="279"/>
      <c r="I232" s="279"/>
      <c r="J232" s="115" t="str">
        <f>IF(AND('Mapa final'!$AB$82="Muy Baja",'Mapa final'!$AD$82="Leve"),CONCATENATE("R27C",'Mapa final'!$R$82),"")</f>
        <v/>
      </c>
      <c r="K232" s="54" t="str">
        <f>IF(AND('Mapa final'!$AB$83="Muy Baja",'Mapa final'!$AD$83="Leve"),CONCATENATE("R27C",'Mapa final'!$R$83),"")</f>
        <v/>
      </c>
      <c r="L232" s="116" t="str">
        <f>IF(AND('Mapa final'!$AB$84="Muy Baja",'Mapa final'!$AD$84="Leve"),CONCATENATE("R27C",'Mapa final'!$R$84),"")</f>
        <v/>
      </c>
      <c r="M232" s="115" t="str">
        <f>IF(AND('Mapa final'!$AB$82="Muy Baja",'Mapa final'!$AD$82="Menor"),CONCATENATE("R27C",'Mapa final'!$R$82),"")</f>
        <v/>
      </c>
      <c r="N232" s="54" t="str">
        <f>IF(AND('Mapa final'!$AB$83="Muy Baja",'Mapa final'!$AD$83="Menor"),CONCATENATE("R27C",'Mapa final'!$R$83),"")</f>
        <v/>
      </c>
      <c r="O232" s="116" t="str">
        <f>IF(AND('Mapa final'!$AB$84="Muy Baja",'Mapa final'!$AD$84="Menor"),CONCATENATE("R27C",'Mapa final'!$R$84),"")</f>
        <v/>
      </c>
      <c r="P232" s="49" t="str">
        <f>IF(AND('Mapa final'!$AB$82="Muy Baja",'Mapa final'!$AD$82="Moderado"),CONCATENATE("R27C",'Mapa final'!$R$82),"")</f>
        <v/>
      </c>
      <c r="Q232" s="50" t="str">
        <f>IF(AND('Mapa final'!$AB$83="Muy Baja",'Mapa final'!$AD$83="Moderado"),CONCATENATE("R27C",'Mapa final'!$R$83),"")</f>
        <v/>
      </c>
      <c r="R232" s="111" t="str">
        <f>IF(AND('Mapa final'!$AB$84="Muy Baja",'Mapa final'!$AD$84="Moderado"),CONCATENATE("R27C",'Mapa final'!$R$84),"")</f>
        <v/>
      </c>
      <c r="S232" s="105" t="str">
        <f>IF(AND('Mapa final'!$AB$82="Muy Baja",'Mapa final'!$AD$82="Mayor"),CONCATENATE("R27C",'Mapa final'!$R$82),"")</f>
        <v/>
      </c>
      <c r="T232" s="42" t="str">
        <f>IF(AND('Mapa final'!$AB$83="Muy Baja",'Mapa final'!$AD$83="Mayor"),CONCATENATE("R27C",'Mapa final'!$R$83),"")</f>
        <v/>
      </c>
      <c r="U232" s="106" t="str">
        <f>IF(AND('Mapa final'!$AB$84="Muy Baja",'Mapa final'!$AD$84="Mayor"),CONCATENATE("R27C",'Mapa final'!$R$84),"")</f>
        <v/>
      </c>
      <c r="V232" s="43" t="str">
        <f>IF(AND('Mapa final'!$AB$82="Muy Baja",'Mapa final'!$AD$82="Catastrófico"),CONCATENATE("R27C",'Mapa final'!$R$82),"")</f>
        <v/>
      </c>
      <c r="W232" s="44" t="str">
        <f>IF(AND('Mapa final'!$AB$83="Muy Baja",'Mapa final'!$AD$83="Catastrófico"),CONCATENATE("R27C",'Mapa final'!$R$83),"")</f>
        <v/>
      </c>
      <c r="X232" s="100" t="str">
        <f>IF(AND('Mapa final'!$AB$84="Muy Baja",'Mapa final'!$AD$84="Catastrófico"),CONCATENATE("R27C",'Mapa final'!$R$84),"")</f>
        <v/>
      </c>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row>
    <row r="233" spans="1:65" ht="15.5" x14ac:dyDescent="0.35">
      <c r="A233" s="56"/>
      <c r="B233" s="307"/>
      <c r="C233" s="307"/>
      <c r="D233" s="308"/>
      <c r="E233" s="283"/>
      <c r="F233" s="279"/>
      <c r="G233" s="279"/>
      <c r="H233" s="279"/>
      <c r="I233" s="279"/>
      <c r="J233" s="115" t="str">
        <f>IF(AND('Mapa final'!$AB$85="Muy Baja",'Mapa final'!$AD$85="Leve"),CONCATENATE("R28C",'Mapa final'!$R$85),"")</f>
        <v/>
      </c>
      <c r="K233" s="54" t="str">
        <f>IF(AND('Mapa final'!$AB$86="Muy Baja",'Mapa final'!$AD$86="Leve"),CONCATENATE("R28C",'Mapa final'!$R$86),"")</f>
        <v/>
      </c>
      <c r="L233" s="116" t="str">
        <f>IF(AND('Mapa final'!$AB$87="Muy Baja",'Mapa final'!$AD$87="Leve"),CONCATENATE("R28C",'Mapa final'!$R$87),"")</f>
        <v/>
      </c>
      <c r="M233" s="115" t="str">
        <f>IF(AND('Mapa final'!$AB$85="Muy Baja",'Mapa final'!$AD$85="Menor"),CONCATENATE("R28C",'Mapa final'!$R$85),"")</f>
        <v/>
      </c>
      <c r="N233" s="54" t="str">
        <f>IF(AND('Mapa final'!$AB$86="Muy Baja",'Mapa final'!$AD$86="Menor"),CONCATENATE("R28C",'Mapa final'!$R$86),"")</f>
        <v/>
      </c>
      <c r="O233" s="116" t="str">
        <f>IF(AND('Mapa final'!$AB$87="Muy Baja",'Mapa final'!$AD$87="Menor"),CONCATENATE("R28C",'Mapa final'!$R$87),"")</f>
        <v/>
      </c>
      <c r="P233" s="49" t="str">
        <f>IF(AND('Mapa final'!$AB$85="Muy Baja",'Mapa final'!$AD$85="Moderado"),CONCATENATE("R28C",'Mapa final'!$R$85),"")</f>
        <v/>
      </c>
      <c r="Q233" s="50" t="str">
        <f>IF(AND('Mapa final'!$AB$86="Muy Baja",'Mapa final'!$AD$86="Moderado"),CONCATENATE("R28C",'Mapa final'!$R$86),"")</f>
        <v/>
      </c>
      <c r="R233" s="111" t="str">
        <f>IF(AND('Mapa final'!$AB$87="Muy Baja",'Mapa final'!$AD$87="Moderado"),CONCATENATE("R28C",'Mapa final'!$R$87),"")</f>
        <v/>
      </c>
      <c r="S233" s="105" t="str">
        <f>IF(AND('Mapa final'!$AB$85="Muy Baja",'Mapa final'!$AD$85="Mayor"),CONCATENATE("R28C",'Mapa final'!$R$85),"")</f>
        <v/>
      </c>
      <c r="T233" s="42" t="str">
        <f>IF(AND('Mapa final'!$AB$86="Muy Baja",'Mapa final'!$AD$86="Mayor"),CONCATENATE("R28C",'Mapa final'!$R$86),"")</f>
        <v/>
      </c>
      <c r="U233" s="106" t="str">
        <f>IF(AND('Mapa final'!$AB$87="Muy Baja",'Mapa final'!$AD$87="Mayor"),CONCATENATE("R28C",'Mapa final'!$R$87),"")</f>
        <v/>
      </c>
      <c r="V233" s="43" t="str">
        <f>IF(AND('Mapa final'!$AB$85="Muy Baja",'Mapa final'!$AD$85="Catastrófico"),CONCATENATE("R28C",'Mapa final'!$R$85),"")</f>
        <v/>
      </c>
      <c r="W233" s="44" t="str">
        <f>IF(AND('Mapa final'!$AB$86="Muy Baja",'Mapa final'!$AD$86="Catastrófico"),CONCATENATE("R28C",'Mapa final'!$R$86),"")</f>
        <v/>
      </c>
      <c r="X233" s="100" t="str">
        <f>IF(AND('Mapa final'!$AB$87="Muy Baja",'Mapa final'!$AD$87="Catastrófico"),CONCATENATE("R28C",'Mapa final'!$R$87),"")</f>
        <v/>
      </c>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row>
    <row r="234" spans="1:65" ht="15" customHeight="1" x14ac:dyDescent="0.35">
      <c r="A234" s="56"/>
      <c r="B234" s="307"/>
      <c r="C234" s="307"/>
      <c r="D234" s="308"/>
      <c r="E234" s="283"/>
      <c r="F234" s="279"/>
      <c r="G234" s="279"/>
      <c r="H234" s="279"/>
      <c r="I234" s="279"/>
      <c r="J234" s="115" t="str">
        <f>IF(AND('Mapa final'!$AB$88="Muy Baja",'Mapa final'!$AD$88="Leve"),CONCATENATE("R29C",'Mapa final'!$R$88),"")</f>
        <v/>
      </c>
      <c r="K234" s="54" t="str">
        <f>IF(AND('Mapa final'!$AB$89="Muy Baja",'Mapa final'!$AD$89="Leve"),CONCATENATE("R29C",'Mapa final'!$R$89),"")</f>
        <v/>
      </c>
      <c r="L234" s="116" t="str">
        <f>IF(AND('Mapa final'!$AB$90="Muy Baja",'Mapa final'!$AD$90="Leve"),CONCATENATE("R29C",'Mapa final'!$R$90),"")</f>
        <v/>
      </c>
      <c r="M234" s="115" t="str">
        <f>IF(AND('Mapa final'!$AB$88="Muy Baja",'Mapa final'!$AD$88="Menor"),CONCATENATE("R29C",'Mapa final'!$R$88),"")</f>
        <v/>
      </c>
      <c r="N234" s="54" t="str">
        <f>IF(AND('Mapa final'!$AB$89="Muy Baja",'Mapa final'!$AD$89="Menor"),CONCATENATE("R29C",'Mapa final'!$R$89),"")</f>
        <v/>
      </c>
      <c r="O234" s="116" t="str">
        <f>IF(AND('Mapa final'!$AB$90="Muy Baja",'Mapa final'!$AD$90="Menor"),CONCATENATE("R29C",'Mapa final'!$R$90),"")</f>
        <v/>
      </c>
      <c r="P234" s="49" t="str">
        <f>IF(AND('Mapa final'!$AB$88="Muy Baja",'Mapa final'!$AD$88="Moderado"),CONCATENATE("R29C",'Mapa final'!$R$88),"")</f>
        <v/>
      </c>
      <c r="Q234" s="50" t="str">
        <f>IF(AND('Mapa final'!$AB$89="Muy Baja",'Mapa final'!$AD$89="Moderado"),CONCATENATE("R29C",'Mapa final'!$R$89),"")</f>
        <v/>
      </c>
      <c r="R234" s="111" t="str">
        <f>IF(AND('Mapa final'!$AB$90="Muy Baja",'Mapa final'!$AD$90="Moderado"),CONCATENATE("R29C",'Mapa final'!$R$90),"")</f>
        <v/>
      </c>
      <c r="S234" s="105" t="str">
        <f>IF(AND('Mapa final'!$AB$88="Muy Baja",'Mapa final'!$AD$88="Mayor"),CONCATENATE("R29C",'Mapa final'!$R$88),"")</f>
        <v/>
      </c>
      <c r="T234" s="42" t="str">
        <f>IF(AND('Mapa final'!$AB$89="Muy Baja",'Mapa final'!$AD$89="Mayor"),CONCATENATE("R29C",'Mapa final'!$R$89),"")</f>
        <v/>
      </c>
      <c r="U234" s="106" t="str">
        <f>IF(AND('Mapa final'!$AB$90="Muy Baja",'Mapa final'!$AD$90="Mayor"),CONCATENATE("R29C",'Mapa final'!$R$90),"")</f>
        <v/>
      </c>
      <c r="V234" s="43" t="str">
        <f>IF(AND('Mapa final'!$AB$88="Muy Baja",'Mapa final'!$AD$88="Catastrófico"),CONCATENATE("R29C",'Mapa final'!$R$88),"")</f>
        <v/>
      </c>
      <c r="W234" s="44" t="str">
        <f>IF(AND('Mapa final'!$AB$89="Muy Baja",'Mapa final'!$AD$89="Catastrófico"),CONCATENATE("R29C",'Mapa final'!$R$89),"")</f>
        <v/>
      </c>
      <c r="X234" s="100" t="str">
        <f>IF(AND('Mapa final'!$AB$90="Muy Baja",'Mapa final'!$AD$90="Catastrófico"),CONCATENATE("R29C",'Mapa final'!$R$90),"")</f>
        <v/>
      </c>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row>
    <row r="235" spans="1:65" ht="15" customHeight="1" x14ac:dyDescent="0.35">
      <c r="A235" s="56"/>
      <c r="B235" s="307"/>
      <c r="C235" s="307"/>
      <c r="D235" s="308"/>
      <c r="E235" s="284"/>
      <c r="F235" s="297"/>
      <c r="G235" s="297"/>
      <c r="H235" s="297"/>
      <c r="I235" s="279"/>
      <c r="J235" s="115" t="str">
        <f>IF(AND('Mapa final'!$AB$91="Muy Baja",'Mapa final'!$AD$91="Leve"),CONCATENATE("R30C",'Mapa final'!$R$91),"")</f>
        <v/>
      </c>
      <c r="K235" s="54" t="str">
        <f>IF(AND('Mapa final'!$AB$92="Muy Baja",'Mapa final'!$AD$92="Leve"),CONCATENATE("R30C",'Mapa final'!$R$92),"")</f>
        <v/>
      </c>
      <c r="L235" s="116" t="str">
        <f>IF(AND('Mapa final'!$AB$93="Muy Baja",'Mapa final'!$AD$93="Leve"),CONCATENATE("R30C",'Mapa final'!$R$93),"")</f>
        <v/>
      </c>
      <c r="M235" s="115" t="str">
        <f>IF(AND('Mapa final'!$AB$91="Muy Baja",'Mapa final'!$AD$91="Menor"),CONCATENATE("R30C",'Mapa final'!$R$91),"")</f>
        <v/>
      </c>
      <c r="N235" s="54" t="str">
        <f>IF(AND('Mapa final'!$AB$92="Muy Baja",'Mapa final'!$AD$92="Menor"),CONCATENATE("R30C",'Mapa final'!$R$92),"")</f>
        <v/>
      </c>
      <c r="O235" s="116" t="str">
        <f>IF(AND('Mapa final'!$AB$93="Muy Baja",'Mapa final'!$AD$93="Menor"),CONCATENATE("R30C",'Mapa final'!$R$93),"")</f>
        <v/>
      </c>
      <c r="P235" s="49" t="str">
        <f>IF(AND('Mapa final'!$AB$91="Muy Baja",'Mapa final'!$AD$91="Moderado"),CONCATENATE("R30C",'Mapa final'!$R$91),"")</f>
        <v/>
      </c>
      <c r="Q235" s="50" t="str">
        <f>IF(AND('Mapa final'!$AB$92="Muy Baja",'Mapa final'!$AD$92="Moderado"),CONCATENATE("R30C",'Mapa final'!$R$92),"")</f>
        <v/>
      </c>
      <c r="R235" s="111" t="str">
        <f>IF(AND('Mapa final'!$AB$93="Muy Baja",'Mapa final'!$AD$93="Moderado"),CONCATENATE("R30C",'Mapa final'!$R$93),"")</f>
        <v/>
      </c>
      <c r="S235" s="105" t="str">
        <f>IF(AND('Mapa final'!$AB$91="Muy Baja",'Mapa final'!$AD$91="Mayor"),CONCATENATE("R30C",'Mapa final'!$R$91),"")</f>
        <v/>
      </c>
      <c r="T235" s="42" t="str">
        <f>IF(AND('Mapa final'!$AB$92="Muy Baja",'Mapa final'!$AD$92="Mayor"),CONCATENATE("R30C",'Mapa final'!$R$92),"")</f>
        <v/>
      </c>
      <c r="U235" s="106" t="str">
        <f>IF(AND('Mapa final'!$AB$93="Muy Baja",'Mapa final'!$AD$93="Mayor"),CONCATENATE("R30C",'Mapa final'!$R$93),"")</f>
        <v/>
      </c>
      <c r="V235" s="43" t="str">
        <f>IF(AND('Mapa final'!$AB$91="Muy Baja",'Mapa final'!$AD$91="Catastrófico"),CONCATENATE("R30C",'Mapa final'!$R$91),"")</f>
        <v/>
      </c>
      <c r="W235" s="44" t="str">
        <f>IF(AND('Mapa final'!$AB$92="Muy Baja",'Mapa final'!$AD$92="Catastrófico"),CONCATENATE("R30C",'Mapa final'!$R$92),"")</f>
        <v/>
      </c>
      <c r="X235" s="100" t="str">
        <f>IF(AND('Mapa final'!$AB$93="Muy Baja",'Mapa final'!$AD$93="Catastrófico"),CONCATENATE("R30C",'Mapa final'!$R$93),"")</f>
        <v/>
      </c>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row>
    <row r="236" spans="1:65" ht="15" customHeight="1" x14ac:dyDescent="0.35">
      <c r="A236" s="56"/>
      <c r="B236" s="307"/>
      <c r="C236" s="307"/>
      <c r="D236" s="308"/>
      <c r="E236" s="284"/>
      <c r="F236" s="297"/>
      <c r="G236" s="297"/>
      <c r="H236" s="297"/>
      <c r="I236" s="279"/>
      <c r="J236" s="115" t="str">
        <f>IF(AND('Mapa final'!$AB$94="Muy Baja",'Mapa final'!$AD$94="Leve"),CONCATENATE("R31C",'Mapa final'!$R$94),"")</f>
        <v/>
      </c>
      <c r="K236" s="54" t="str">
        <f>IF(AND('Mapa final'!$AB$95="Muy Baja",'Mapa final'!$AD$95="Leve"),CONCATENATE("R31C",'Mapa final'!$R$95),"")</f>
        <v/>
      </c>
      <c r="L236" s="116" t="str">
        <f>IF(AND('Mapa final'!$AB$96="Muy Baja",'Mapa final'!$AD$96="Leve"),CONCATENATE("R31C",'Mapa final'!$R$96),"")</f>
        <v/>
      </c>
      <c r="M236" s="115" t="str">
        <f>IF(AND('Mapa final'!$AB$94="Muy Baja",'Mapa final'!$AD$94="Menor"),CONCATENATE("R31C",'Mapa final'!$R$94),"")</f>
        <v/>
      </c>
      <c r="N236" s="54" t="str">
        <f>IF(AND('Mapa final'!$AB$95="Muy Baja",'Mapa final'!$AD$95="Menor"),CONCATENATE("R31C",'Mapa final'!$R$95),"")</f>
        <v/>
      </c>
      <c r="O236" s="116" t="str">
        <f>IF(AND('Mapa final'!$AB$96="Muy Baja",'Mapa final'!$AD$96="Menor"),CONCATENATE("R31C",'Mapa final'!$R$96),"")</f>
        <v/>
      </c>
      <c r="P236" s="49" t="str">
        <f>IF(AND('Mapa final'!$AB$94="Muy Baja",'Mapa final'!$AD$94="Moderado"),CONCATENATE("R31C",'Mapa final'!$R$94),"")</f>
        <v/>
      </c>
      <c r="Q236" s="50" t="str">
        <f>IF(AND('Mapa final'!$AB$95="Muy Baja",'Mapa final'!$AD$95="Moderado"),CONCATENATE("R31C",'Mapa final'!$R$95),"")</f>
        <v/>
      </c>
      <c r="R236" s="111" t="str">
        <f>IF(AND('Mapa final'!$AB$96="Muy Baja",'Mapa final'!$AD$96="Moderado"),CONCATENATE("R31C",'Mapa final'!$R$96),"")</f>
        <v/>
      </c>
      <c r="S236" s="105" t="str">
        <f>IF(AND('Mapa final'!$AB$94="Muy Baja",'Mapa final'!$AD$94="Mayor"),CONCATENATE("R31C",'Mapa final'!$R$94),"")</f>
        <v/>
      </c>
      <c r="T236" s="42" t="str">
        <f>IF(AND('Mapa final'!$AB$95="Muy Baja",'Mapa final'!$AD$95="Mayor"),CONCATENATE("R31C",'Mapa final'!$R$95),"")</f>
        <v/>
      </c>
      <c r="U236" s="106" t="str">
        <f>IF(AND('Mapa final'!$AB$96="Muy Baja",'Mapa final'!$AD$96="Mayor"),CONCATENATE("R31C",'Mapa final'!$R$96),"")</f>
        <v/>
      </c>
      <c r="V236" s="43" t="str">
        <f>IF(AND('Mapa final'!$AB$94="Muy Baja",'Mapa final'!$AD$94="Catastrófico"),CONCATENATE("R31C",'Mapa final'!$R$94),"")</f>
        <v/>
      </c>
      <c r="W236" s="44" t="str">
        <f>IF(AND('Mapa final'!$AB$95="Muy Baja",'Mapa final'!$AD$95="Catastrófico"),CONCATENATE("R31C",'Mapa final'!$R$95),"")</f>
        <v/>
      </c>
      <c r="X236" s="100" t="str">
        <f>IF(AND('Mapa final'!$AB$96="Muy Baja",'Mapa final'!$AD$96="Catastrófico"),CONCATENATE("R31C",'Mapa final'!$R$96),"")</f>
        <v/>
      </c>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row>
    <row r="237" spans="1:65" ht="15" customHeight="1" x14ac:dyDescent="0.35">
      <c r="A237" s="56"/>
      <c r="B237" s="307"/>
      <c r="C237" s="307"/>
      <c r="D237" s="308"/>
      <c r="E237" s="284"/>
      <c r="F237" s="297"/>
      <c r="G237" s="297"/>
      <c r="H237" s="297"/>
      <c r="I237" s="279"/>
      <c r="J237" s="115" t="e">
        <f>IF(AND('Mapa final'!#REF!="Muy Baja",'Mapa final'!#REF!="Leve"),CONCATENATE("R32C",'Mapa final'!#REF!),"")</f>
        <v>#REF!</v>
      </c>
      <c r="K237" s="54" t="e">
        <f>IF(AND('Mapa final'!#REF!="Muy Baja",'Mapa final'!#REF!="Leve"),CONCATENATE("R32C",'Mapa final'!#REF!),"")</f>
        <v>#REF!</v>
      </c>
      <c r="L237" s="116" t="e">
        <f>IF(AND('Mapa final'!#REF!="Muy Baja",'Mapa final'!#REF!="Leve"),CONCATENATE("R32C",'Mapa final'!#REF!),"")</f>
        <v>#REF!</v>
      </c>
      <c r="M237" s="115" t="e">
        <f>IF(AND('Mapa final'!#REF!="Muy Baja",'Mapa final'!#REF!="Menor"),CONCATENATE("R32C",'Mapa final'!#REF!),"")</f>
        <v>#REF!</v>
      </c>
      <c r="N237" s="54" t="e">
        <f>IF(AND('Mapa final'!#REF!="Muy Baja",'Mapa final'!#REF!="Menor"),CONCATENATE("R32C",'Mapa final'!#REF!),"")</f>
        <v>#REF!</v>
      </c>
      <c r="O237" s="116" t="e">
        <f>IF(AND('Mapa final'!#REF!="Muy Baja",'Mapa final'!#REF!="Menor"),CONCATENATE("R32C",'Mapa final'!#REF!),"")</f>
        <v>#REF!</v>
      </c>
      <c r="P237" s="49" t="e">
        <f>IF(AND('Mapa final'!#REF!="Muy Baja",'Mapa final'!#REF!="Moderado"),CONCATENATE("R32C",'Mapa final'!#REF!),"")</f>
        <v>#REF!</v>
      </c>
      <c r="Q237" s="50" t="e">
        <f>IF(AND('Mapa final'!#REF!="Muy Baja",'Mapa final'!#REF!="Moderado"),CONCATENATE("R32C",'Mapa final'!#REF!),"")</f>
        <v>#REF!</v>
      </c>
      <c r="R237" s="111" t="e">
        <f>IF(AND('Mapa final'!#REF!="Muy Baja",'Mapa final'!#REF!="Moderado"),CONCATENATE("R32C",'Mapa final'!#REF!),"")</f>
        <v>#REF!</v>
      </c>
      <c r="S237" s="105" t="e">
        <f>IF(AND('Mapa final'!#REF!="Muy Baja",'Mapa final'!#REF!="Mayor"),CONCATENATE("R32C",'Mapa final'!#REF!),"")</f>
        <v>#REF!</v>
      </c>
      <c r="T237" s="42" t="e">
        <f>IF(AND('Mapa final'!#REF!="Muy Baja",'Mapa final'!#REF!="Mayor"),CONCATENATE("R32C",'Mapa final'!#REF!),"")</f>
        <v>#REF!</v>
      </c>
      <c r="U237" s="106" t="e">
        <f>IF(AND('Mapa final'!#REF!="Muy Baja",'Mapa final'!#REF!="Mayor"),CONCATENATE("R32C",'Mapa final'!#REF!),"")</f>
        <v>#REF!</v>
      </c>
      <c r="V237" s="43" t="e">
        <f>IF(AND('Mapa final'!#REF!="Muy Baja",'Mapa final'!#REF!="Catastrófico"),CONCATENATE("R32C",'Mapa final'!#REF!),"")</f>
        <v>#REF!</v>
      </c>
      <c r="W237" s="44" t="e">
        <f>IF(AND('Mapa final'!#REF!="Muy Baja",'Mapa final'!#REF!="Catastrófico"),CONCATENATE("R32C",'Mapa final'!#REF!),"")</f>
        <v>#REF!</v>
      </c>
      <c r="X237" s="100" t="e">
        <f>IF(AND('Mapa final'!#REF!="Muy Baja",'Mapa final'!#REF!="Catastrófico"),CONCATENATE("R32C",'Mapa final'!#REF!),"")</f>
        <v>#REF!</v>
      </c>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row>
    <row r="238" spans="1:65" ht="15" customHeight="1" x14ac:dyDescent="0.35">
      <c r="A238" s="56"/>
      <c r="B238" s="307"/>
      <c r="C238" s="307"/>
      <c r="D238" s="308"/>
      <c r="E238" s="284"/>
      <c r="F238" s="297"/>
      <c r="G238" s="297"/>
      <c r="H238" s="297"/>
      <c r="I238" s="279"/>
      <c r="J238" s="115" t="str">
        <f>IF(AND('Mapa final'!$AB$97="Muy Baja",'Mapa final'!$AD$97="Leve"),CONCATENATE("R33C",'Mapa final'!$R$97),"")</f>
        <v/>
      </c>
      <c r="K238" s="54" t="str">
        <f>IF(AND('Mapa final'!$AB$98="Muy Baja",'Mapa final'!$AD$98="Leve"),CONCATENATE("R33C",'Mapa final'!$R$98),"")</f>
        <v/>
      </c>
      <c r="L238" s="116" t="str">
        <f>IF(AND('Mapa final'!$AB$99="Muy Baja",'Mapa final'!$AD$99="Leve"),CONCATENATE("R33C",'Mapa final'!$R$99),"")</f>
        <v/>
      </c>
      <c r="M238" s="115" t="str">
        <f>IF(AND('Mapa final'!$AB$97="Muy Baja",'Mapa final'!$AD$97="Menor"),CONCATENATE("R33C",'Mapa final'!$R$97),"")</f>
        <v/>
      </c>
      <c r="N238" s="54" t="str">
        <f>IF(AND('Mapa final'!$AB$98="Muy Baja",'Mapa final'!$AD$98="Menor"),CONCATENATE("R33C",'Mapa final'!$R$98),"")</f>
        <v/>
      </c>
      <c r="O238" s="116" t="str">
        <f>IF(AND('Mapa final'!$AB$99="Muy Baja",'Mapa final'!$AD$99="Menor"),CONCATENATE("R33C",'Mapa final'!$R$99),"")</f>
        <v/>
      </c>
      <c r="P238" s="49" t="str">
        <f>IF(AND('Mapa final'!$AB$97="Muy Baja",'Mapa final'!$AD$97="Moderado"),CONCATENATE("R33C",'Mapa final'!$R$97),"")</f>
        <v/>
      </c>
      <c r="Q238" s="50" t="str">
        <f>IF(AND('Mapa final'!$AB$98="Muy Baja",'Mapa final'!$AD$98="Moderado"),CONCATENATE("R33C",'Mapa final'!$R$98),"")</f>
        <v/>
      </c>
      <c r="R238" s="111" t="str">
        <f>IF(AND('Mapa final'!$AB$99="Muy Baja",'Mapa final'!$AD$99="Moderado"),CONCATENATE("R33C",'Mapa final'!$R$99),"")</f>
        <v/>
      </c>
      <c r="S238" s="105" t="str">
        <f>IF(AND('Mapa final'!$AB$97="Muy Baja",'Mapa final'!$AD$97="Mayor"),CONCATENATE("R33C",'Mapa final'!$R$97),"")</f>
        <v/>
      </c>
      <c r="T238" s="42" t="str">
        <f>IF(AND('Mapa final'!$AB$98="Muy Baja",'Mapa final'!$AD$98="Mayor"),CONCATENATE("R33C",'Mapa final'!$R$98),"")</f>
        <v/>
      </c>
      <c r="U238" s="106" t="str">
        <f>IF(AND('Mapa final'!$AB$99="Muy Baja",'Mapa final'!$AD$99="Mayor"),CONCATENATE("R33C",'Mapa final'!$R$99),"")</f>
        <v/>
      </c>
      <c r="V238" s="43" t="str">
        <f>IF(AND('Mapa final'!$AB$97="Muy Baja",'Mapa final'!$AD$97="Catastrófico"),CONCATENATE("R33C",'Mapa final'!$R$97),"")</f>
        <v/>
      </c>
      <c r="W238" s="44" t="str">
        <f>IF(AND('Mapa final'!$AB$98="Muy Baja",'Mapa final'!$AD$98="Catastrófico"),CONCATENATE("R33C",'Mapa final'!$R$98),"")</f>
        <v/>
      </c>
      <c r="X238" s="100" t="str">
        <f>IF(AND('Mapa final'!$AB$99="Muy Baja",'Mapa final'!$AD$99="Catastrófico"),CONCATENATE("R33C",'Mapa final'!$R$99),"")</f>
        <v/>
      </c>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row>
    <row r="239" spans="1:65" ht="15" customHeight="1" x14ac:dyDescent="0.35">
      <c r="A239" s="56"/>
      <c r="B239" s="307"/>
      <c r="C239" s="307"/>
      <c r="D239" s="308"/>
      <c r="E239" s="284"/>
      <c r="F239" s="297"/>
      <c r="G239" s="297"/>
      <c r="H239" s="297"/>
      <c r="I239" s="279"/>
      <c r="J239" s="115" t="str">
        <f>IF(AND('Mapa final'!$AB$100="Muy Baja",'Mapa final'!$AD$100="Leve"),CONCATENATE("R34C",'Mapa final'!$R$100),"")</f>
        <v/>
      </c>
      <c r="K239" s="54" t="str">
        <f>IF(AND('Mapa final'!$AB$101="Muy Baja",'Mapa final'!$AD$101="Leve"),CONCATENATE("R34C",'Mapa final'!$R$101),"")</f>
        <v/>
      </c>
      <c r="L239" s="116" t="str">
        <f>IF(AND('Mapa final'!$AB$102="Muy Baja",'Mapa final'!$AD$102="Leve"),CONCATENATE("R34C",'Mapa final'!$R$102),"")</f>
        <v/>
      </c>
      <c r="M239" s="115" t="str">
        <f>IF(AND('Mapa final'!$AB$100="Muy Baja",'Mapa final'!$AD$100="Menor"),CONCATENATE("R34C",'Mapa final'!$R$100),"")</f>
        <v/>
      </c>
      <c r="N239" s="54" t="str">
        <f>IF(AND('Mapa final'!$AB$101="Muy Baja",'Mapa final'!$AD$101="Menor"),CONCATENATE("R34C",'Mapa final'!$R$101),"")</f>
        <v/>
      </c>
      <c r="O239" s="116" t="str">
        <f>IF(AND('Mapa final'!$AB$102="Muy Baja",'Mapa final'!$AD$102="Menor"),CONCATENATE("R34C",'Mapa final'!$R$102),"")</f>
        <v/>
      </c>
      <c r="P239" s="49" t="str">
        <f>IF(AND('Mapa final'!$AB$100="Muy Baja",'Mapa final'!$AD$100="Moderado"),CONCATENATE("R34C",'Mapa final'!$R$100),"")</f>
        <v/>
      </c>
      <c r="Q239" s="50" t="str">
        <f>IF(AND('Mapa final'!$AB$101="Muy Baja",'Mapa final'!$AD$101="Moderado"),CONCATENATE("R34C",'Mapa final'!$R$101),"")</f>
        <v/>
      </c>
      <c r="R239" s="111" t="str">
        <f>IF(AND('Mapa final'!$AB$102="Muy Baja",'Mapa final'!$AD$102="Moderado"),CONCATENATE("R34C",'Mapa final'!$R$102),"")</f>
        <v/>
      </c>
      <c r="S239" s="105" t="str">
        <f>IF(AND('Mapa final'!$AB$100="Muy Baja",'Mapa final'!$AD$100="Mayor"),CONCATENATE("R34C",'Mapa final'!$R$100),"")</f>
        <v/>
      </c>
      <c r="T239" s="42" t="str">
        <f>IF(AND('Mapa final'!$AB$101="Muy Baja",'Mapa final'!$AD$101="Mayor"),CONCATENATE("R34C",'Mapa final'!$R$101),"")</f>
        <v/>
      </c>
      <c r="U239" s="106" t="str">
        <f>IF(AND('Mapa final'!$AB$102="Muy Baja",'Mapa final'!$AD$102="Mayor"),CONCATENATE("R34C",'Mapa final'!$R$102),"")</f>
        <v/>
      </c>
      <c r="V239" s="43" t="str">
        <f>IF(AND('Mapa final'!$AB$100="Muy Baja",'Mapa final'!$AD$100="Catastrófico"),CONCATENATE("R34C",'Mapa final'!$R$100),"")</f>
        <v/>
      </c>
      <c r="W239" s="44" t="str">
        <f>IF(AND('Mapa final'!$AB$101="Muy Baja",'Mapa final'!$AD$101="Catastrófico"),CONCATENATE("R34C",'Mapa final'!$R$101),"")</f>
        <v/>
      </c>
      <c r="X239" s="100" t="str">
        <f>IF(AND('Mapa final'!$AB$102="Muy Baja",'Mapa final'!$AD$102="Catastrófico"),CONCATENATE("R34C",'Mapa final'!$R$102),"")</f>
        <v/>
      </c>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row>
    <row r="240" spans="1:65" ht="15" customHeight="1" x14ac:dyDescent="0.35">
      <c r="A240" s="56"/>
      <c r="B240" s="307"/>
      <c r="C240" s="307"/>
      <c r="D240" s="308"/>
      <c r="E240" s="284"/>
      <c r="F240" s="297"/>
      <c r="G240" s="297"/>
      <c r="H240" s="297"/>
      <c r="I240" s="279"/>
      <c r="J240" s="115" t="str">
        <f>IF(AND('Mapa final'!$AB$103="Muy Baja",'Mapa final'!$AD$103="Leve"),CONCATENATE("R35C",'Mapa final'!$R$103),"")</f>
        <v/>
      </c>
      <c r="K240" s="54" t="str">
        <f>IF(AND('Mapa final'!$AB$104="Muy Baja",'Mapa final'!$AD$104="Leve"),CONCATENATE("R35C",'Mapa final'!$R$104),"")</f>
        <v/>
      </c>
      <c r="L240" s="116" t="str">
        <f>IF(AND('Mapa final'!$AB$105="Muy Baja",'Mapa final'!$AD$105="Leve"),CONCATENATE("R35C",'Mapa final'!$R$105),"")</f>
        <v/>
      </c>
      <c r="M240" s="115" t="str">
        <f>IF(AND('Mapa final'!$AB$103="Muy Baja",'Mapa final'!$AD$103="Menor"),CONCATENATE("R35C",'Mapa final'!$R$103),"")</f>
        <v/>
      </c>
      <c r="N240" s="54" t="str">
        <f>IF(AND('Mapa final'!$AB$104="Muy Baja",'Mapa final'!$AD$104="Menor"),CONCATENATE("R35C",'Mapa final'!$R$104),"")</f>
        <v/>
      </c>
      <c r="O240" s="116" t="str">
        <f>IF(AND('Mapa final'!$AB$105="Muy Baja",'Mapa final'!$AD$105="Menor"),CONCATENATE("R35C",'Mapa final'!$R$105),"")</f>
        <v/>
      </c>
      <c r="P240" s="49" t="str">
        <f>IF(AND('Mapa final'!$AB$103="Muy Baja",'Mapa final'!$AD$103="Moderado"),CONCATENATE("R35C",'Mapa final'!$R$103),"")</f>
        <v/>
      </c>
      <c r="Q240" s="50" t="str">
        <f>IF(AND('Mapa final'!$AB$104="Muy Baja",'Mapa final'!$AD$104="Moderado"),CONCATENATE("R35C",'Mapa final'!$R$104),"")</f>
        <v/>
      </c>
      <c r="R240" s="111" t="str">
        <f>IF(AND('Mapa final'!$AB$105="Muy Baja",'Mapa final'!$AD$105="Moderado"),CONCATENATE("R35C",'Mapa final'!$R$105),"")</f>
        <v/>
      </c>
      <c r="S240" s="105" t="str">
        <f>IF(AND('Mapa final'!$AB$103="Muy Baja",'Mapa final'!$AD$103="Mayor"),CONCATENATE("R35C",'Mapa final'!$R$103),"")</f>
        <v/>
      </c>
      <c r="T240" s="42" t="str">
        <f>IF(AND('Mapa final'!$AB$104="Muy Baja",'Mapa final'!$AD$104="Mayor"),CONCATENATE("R35C",'Mapa final'!$R$104),"")</f>
        <v/>
      </c>
      <c r="U240" s="106" t="str">
        <f>IF(AND('Mapa final'!$AB$105="Muy Baja",'Mapa final'!$AD$105="Mayor"),CONCATENATE("R35C",'Mapa final'!$R$105),"")</f>
        <v/>
      </c>
      <c r="V240" s="43" t="str">
        <f>IF(AND('Mapa final'!$AB$103="Muy Baja",'Mapa final'!$AD$103="Catastrófico"),CONCATENATE("R35C",'Mapa final'!$R$103),"")</f>
        <v/>
      </c>
      <c r="W240" s="44" t="str">
        <f>IF(AND('Mapa final'!$AB$104="Muy Baja",'Mapa final'!$AD$104="Catastrófico"),CONCATENATE("R35C",'Mapa final'!$R$104),"")</f>
        <v/>
      </c>
      <c r="X240" s="100" t="str">
        <f>IF(AND('Mapa final'!$AB$105="Muy Baja",'Mapa final'!$AD$105="Catastrófico"),CONCATENATE("R35C",'Mapa final'!$R$105),"")</f>
        <v/>
      </c>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row>
    <row r="241" spans="1:65" ht="15" customHeight="1" x14ac:dyDescent="0.35">
      <c r="A241" s="56"/>
      <c r="B241" s="307"/>
      <c r="C241" s="307"/>
      <c r="D241" s="308"/>
      <c r="E241" s="284"/>
      <c r="F241" s="297"/>
      <c r="G241" s="297"/>
      <c r="H241" s="297"/>
      <c r="I241" s="279"/>
      <c r="J241" s="115" t="str">
        <f>IF(AND('Mapa final'!$AB$106="Muy Baja",'Mapa final'!$AD$106="Leve"),CONCATENATE("R36C",'Mapa final'!$R$106),"")</f>
        <v/>
      </c>
      <c r="K241" s="54" t="str">
        <f>IF(AND('Mapa final'!$AB$107="Muy Baja",'Mapa final'!$AD$107="Leve"),CONCATENATE("R36C",'Mapa final'!$R$107),"")</f>
        <v/>
      </c>
      <c r="L241" s="116" t="str">
        <f>IF(AND('Mapa final'!$AB$108="Muy Baja",'Mapa final'!$AD$108="Leve"),CONCATENATE("R36C",'Mapa final'!$R$108),"")</f>
        <v/>
      </c>
      <c r="M241" s="115" t="str">
        <f>IF(AND('Mapa final'!$AB$106="Muy Baja",'Mapa final'!$AD$106="Menor"),CONCATENATE("R36C",'Mapa final'!$R$106),"")</f>
        <v/>
      </c>
      <c r="N241" s="54" t="str">
        <f>IF(AND('Mapa final'!$AB$107="Muy Baja",'Mapa final'!$AD$107="Menor"),CONCATENATE("R36C",'Mapa final'!$R$107),"")</f>
        <v/>
      </c>
      <c r="O241" s="116" t="str">
        <f>IF(AND('Mapa final'!$AB$108="Muy Baja",'Mapa final'!$AD$108="Menor"),CONCATENATE("R36C",'Mapa final'!$R$108),"")</f>
        <v/>
      </c>
      <c r="P241" s="49" t="str">
        <f>IF(AND('Mapa final'!$AB$106="Muy Baja",'Mapa final'!$AD$106="Moderado"),CONCATENATE("R36C",'Mapa final'!$R$106),"")</f>
        <v/>
      </c>
      <c r="Q241" s="50" t="str">
        <f>IF(AND('Mapa final'!$AB$107="Muy Baja",'Mapa final'!$AD$107="Moderado"),CONCATENATE("R36C",'Mapa final'!$R$107),"")</f>
        <v/>
      </c>
      <c r="R241" s="111" t="str">
        <f>IF(AND('Mapa final'!$AB$108="Muy Baja",'Mapa final'!$AD$108="Moderado"),CONCATENATE("R36C",'Mapa final'!$R$108),"")</f>
        <v/>
      </c>
      <c r="S241" s="105" t="str">
        <f>IF(AND('Mapa final'!$AB$106="Muy Baja",'Mapa final'!$AD$106="Mayor"),CONCATENATE("R36C",'Mapa final'!$R$106),"")</f>
        <v/>
      </c>
      <c r="T241" s="42" t="str">
        <f>IF(AND('Mapa final'!$AB$107="Muy Baja",'Mapa final'!$AD$107="Mayor"),CONCATENATE("R36C",'Mapa final'!$R$107),"")</f>
        <v/>
      </c>
      <c r="U241" s="106" t="str">
        <f>IF(AND('Mapa final'!$AB$108="Muy Baja",'Mapa final'!$AD$108="Mayor"),CONCATENATE("R36C",'Mapa final'!$R$108),"")</f>
        <v/>
      </c>
      <c r="V241" s="43" t="str">
        <f>IF(AND('Mapa final'!$AB$106="Muy Baja",'Mapa final'!$AD$106="Catastrófico"),CONCATENATE("R36C",'Mapa final'!$R$106),"")</f>
        <v/>
      </c>
      <c r="W241" s="44" t="str">
        <f>IF(AND('Mapa final'!$AB$107="Muy Baja",'Mapa final'!$AD$107="Catastrófico"),CONCATENATE("R36C",'Mapa final'!$R$107),"")</f>
        <v/>
      </c>
      <c r="X241" s="100" t="str">
        <f>IF(AND('Mapa final'!$AB$108="Muy Baja",'Mapa final'!$AD$108="Catastrófico"),CONCATENATE("R36C",'Mapa final'!$R$108),"")</f>
        <v/>
      </c>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row>
    <row r="242" spans="1:65" ht="15" customHeight="1" x14ac:dyDescent="0.35">
      <c r="A242" s="56"/>
      <c r="B242" s="307"/>
      <c r="C242" s="307"/>
      <c r="D242" s="308"/>
      <c r="E242" s="284"/>
      <c r="F242" s="297"/>
      <c r="G242" s="297"/>
      <c r="H242" s="297"/>
      <c r="I242" s="279"/>
      <c r="J242" s="115" t="str">
        <f>IF(AND('Mapa final'!$AB$109="Muy Baja",'Mapa final'!$AD$109="Leve"),CONCATENATE("R37C",'Mapa final'!$R$109),"")</f>
        <v/>
      </c>
      <c r="K242" s="54" t="str">
        <f>IF(AND('Mapa final'!$AB$110="Muy Baja",'Mapa final'!$AD$110="Leve"),CONCATENATE("R37C",'Mapa final'!$R$110),"")</f>
        <v/>
      </c>
      <c r="L242" s="116" t="str">
        <f>IF(AND('Mapa final'!$AB$111="Muy Baja",'Mapa final'!$AD$111="Leve"),CONCATENATE("R37C",'Mapa final'!$R$111),"")</f>
        <v/>
      </c>
      <c r="M242" s="115" t="str">
        <f>IF(AND('Mapa final'!$AB$109="Muy Baja",'Mapa final'!$AD$109="Menor"),CONCATENATE("R37C",'Mapa final'!$R$109),"")</f>
        <v/>
      </c>
      <c r="N242" s="54" t="str">
        <f>IF(AND('Mapa final'!$AB$110="Muy Baja",'Mapa final'!$AD$110="Menor"),CONCATENATE("R37C",'Mapa final'!$R$110),"")</f>
        <v/>
      </c>
      <c r="O242" s="116" t="str">
        <f>IF(AND('Mapa final'!$AB$111="Muy Baja",'Mapa final'!$AD$111="Menor"),CONCATENATE("R37C",'Mapa final'!$R$111),"")</f>
        <v/>
      </c>
      <c r="P242" s="49" t="str">
        <f>IF(AND('Mapa final'!$AB$109="Muy Baja",'Mapa final'!$AD$109="Moderado"),CONCATENATE("R37C",'Mapa final'!$R$109),"")</f>
        <v/>
      </c>
      <c r="Q242" s="50" t="str">
        <f>IF(AND('Mapa final'!$AB$110="Muy Baja",'Mapa final'!$AD$110="Moderado"),CONCATENATE("R37C",'Mapa final'!$R$110),"")</f>
        <v/>
      </c>
      <c r="R242" s="111" t="str">
        <f>IF(AND('Mapa final'!$AB$111="Muy Baja",'Mapa final'!$AD$111="Moderado"),CONCATENATE("R37C",'Mapa final'!$R$111),"")</f>
        <v/>
      </c>
      <c r="S242" s="105" t="str">
        <f>IF(AND('Mapa final'!$AB$109="Muy Baja",'Mapa final'!$AD$109="Mayor"),CONCATENATE("R37C",'Mapa final'!$R$109),"")</f>
        <v/>
      </c>
      <c r="T242" s="42" t="str">
        <f>IF(AND('Mapa final'!$AB$110="Muy Baja",'Mapa final'!$AD$110="Mayor"),CONCATENATE("R37C",'Mapa final'!$R$110),"")</f>
        <v/>
      </c>
      <c r="U242" s="106" t="str">
        <f>IF(AND('Mapa final'!$AB$111="Muy Baja",'Mapa final'!$AD$111="Mayor"),CONCATENATE("R37C",'Mapa final'!$R$111),"")</f>
        <v/>
      </c>
      <c r="V242" s="43" t="str">
        <f>IF(AND('Mapa final'!$AB$109="Muy Baja",'Mapa final'!$AD$109="Catastrófico"),CONCATENATE("R37C",'Mapa final'!$R$109),"")</f>
        <v/>
      </c>
      <c r="W242" s="44" t="str">
        <f>IF(AND('Mapa final'!$AB$110="Muy Baja",'Mapa final'!$AD$110="Catastrófico"),CONCATENATE("R37C",'Mapa final'!$R$110),"")</f>
        <v/>
      </c>
      <c r="X242" s="100" t="str">
        <f>IF(AND('Mapa final'!$AB$111="Muy Baja",'Mapa final'!$AD$111="Catastrófico"),CONCATENATE("R37C",'Mapa final'!$R$111),"")</f>
        <v/>
      </c>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row>
    <row r="243" spans="1:65" ht="15" customHeight="1" x14ac:dyDescent="0.35">
      <c r="A243" s="56"/>
      <c r="B243" s="307"/>
      <c r="C243" s="307"/>
      <c r="D243" s="308"/>
      <c r="E243" s="284"/>
      <c r="F243" s="297"/>
      <c r="G243" s="297"/>
      <c r="H243" s="297"/>
      <c r="I243" s="279"/>
      <c r="J243" s="115" t="str">
        <f>IF(AND('Mapa final'!$AB$112="Muy Baja",'Mapa final'!$AD$112="Leve"),CONCATENATE("R38C",'Mapa final'!$R$112),"")</f>
        <v/>
      </c>
      <c r="K243" s="54" t="str">
        <f>IF(AND('Mapa final'!$AB$113="Muy Baja",'Mapa final'!$AD$113="Leve"),CONCATENATE("R38C",'Mapa final'!$R$113),"")</f>
        <v/>
      </c>
      <c r="L243" s="116" t="str">
        <f>IF(AND('Mapa final'!$AB$114="Muy Baja",'Mapa final'!$AD$114="Leve"),CONCATENATE("R38C",'Mapa final'!$R$114),"")</f>
        <v/>
      </c>
      <c r="M243" s="115" t="str">
        <f>IF(AND('Mapa final'!$AB$112="Muy Baja",'Mapa final'!$AD$112="Menor"),CONCATENATE("R38C",'Mapa final'!$R$112),"")</f>
        <v/>
      </c>
      <c r="N243" s="54" t="str">
        <f>IF(AND('Mapa final'!$AB$113="Muy Baja",'Mapa final'!$AD$113="Menor"),CONCATENATE("R38C",'Mapa final'!$R$113),"")</f>
        <v>R38C2</v>
      </c>
      <c r="O243" s="116" t="str">
        <f>IF(AND('Mapa final'!$AB$114="Muy Baja",'Mapa final'!$AD$114="Menor"),CONCATENATE("R38C",'Mapa final'!$R$114),"")</f>
        <v/>
      </c>
      <c r="P243" s="49" t="str">
        <f>IF(AND('Mapa final'!$AB$112="Muy Baja",'Mapa final'!$AD$112="Moderado"),CONCATENATE("R38C",'Mapa final'!$R$112),"")</f>
        <v/>
      </c>
      <c r="Q243" s="50" t="str">
        <f>IF(AND('Mapa final'!$AB$113="Muy Baja",'Mapa final'!$AD$113="Moderado"),CONCATENATE("R38C",'Mapa final'!$R$113),"")</f>
        <v/>
      </c>
      <c r="R243" s="111" t="str">
        <f>IF(AND('Mapa final'!$AB$114="Muy Baja",'Mapa final'!$AD$114="Moderado"),CONCATENATE("R38C",'Mapa final'!$R$114),"")</f>
        <v/>
      </c>
      <c r="S243" s="105" t="str">
        <f>IF(AND('Mapa final'!$AB$112="Muy Baja",'Mapa final'!$AD$112="Mayor"),CONCATENATE("R38C",'Mapa final'!$R$112),"")</f>
        <v/>
      </c>
      <c r="T243" s="42" t="str">
        <f>IF(AND('Mapa final'!$AB$113="Muy Baja",'Mapa final'!$AD$113="Mayor"),CONCATENATE("R38C",'Mapa final'!$R$113),"")</f>
        <v/>
      </c>
      <c r="U243" s="106" t="str">
        <f>IF(AND('Mapa final'!$AB$114="Muy Baja",'Mapa final'!$AD$114="Mayor"),CONCATENATE("R38C",'Mapa final'!$R$114),"")</f>
        <v/>
      </c>
      <c r="V243" s="43" t="str">
        <f>IF(AND('Mapa final'!$AB$112="Muy Baja",'Mapa final'!$AD$112="Catastrófico"),CONCATENATE("R38C",'Mapa final'!$R$112),"")</f>
        <v/>
      </c>
      <c r="W243" s="44" t="str">
        <f>IF(AND('Mapa final'!$AB$113="Muy Baja",'Mapa final'!$AD$113="Catastrófico"),CONCATENATE("R38C",'Mapa final'!$R$113),"")</f>
        <v/>
      </c>
      <c r="X243" s="100" t="str">
        <f>IF(AND('Mapa final'!$AB$114="Muy Baja",'Mapa final'!$AD$114="Catastrófico"),CONCATENATE("R38C",'Mapa final'!$R$114),"")</f>
        <v/>
      </c>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row>
    <row r="244" spans="1:65" ht="15" customHeight="1" x14ac:dyDescent="0.35">
      <c r="A244" s="56"/>
      <c r="B244" s="307"/>
      <c r="C244" s="307"/>
      <c r="D244" s="308"/>
      <c r="E244" s="284"/>
      <c r="F244" s="297"/>
      <c r="G244" s="297"/>
      <c r="H244" s="297"/>
      <c r="I244" s="279"/>
      <c r="J244" s="115" t="str">
        <f>IF(AND('Mapa final'!$AB$115="Muy Baja",'Mapa final'!$AD$115="Leve"),CONCATENATE("R39C",'Mapa final'!$R$115),"")</f>
        <v/>
      </c>
      <c r="K244" s="54" t="str">
        <f>IF(AND('Mapa final'!$AB$116="Muy Baja",'Mapa final'!$AD$116="Leve"),CONCATENATE("R39C",'Mapa final'!$R$116),"")</f>
        <v/>
      </c>
      <c r="L244" s="116" t="str">
        <f>IF(AND('Mapa final'!$AB$117="Muy Baja",'Mapa final'!$AD$117="Leve"),CONCATENATE("R39C",'Mapa final'!$R$117),"")</f>
        <v/>
      </c>
      <c r="M244" s="115" t="str">
        <f>IF(AND('Mapa final'!$AB$115="Muy Baja",'Mapa final'!$AD$115="Menor"),CONCATENATE("R39C",'Mapa final'!$R$115),"")</f>
        <v/>
      </c>
      <c r="N244" s="54" t="str">
        <f>IF(AND('Mapa final'!$AB$116="Muy Baja",'Mapa final'!$AD$116="Menor"),CONCATENATE("R39C",'Mapa final'!$R$116),"")</f>
        <v/>
      </c>
      <c r="O244" s="116" t="str">
        <f>IF(AND('Mapa final'!$AB$117="Muy Baja",'Mapa final'!$AD$117="Menor"),CONCATENATE("R39C",'Mapa final'!$R$117),"")</f>
        <v/>
      </c>
      <c r="P244" s="49" t="str">
        <f>IF(AND('Mapa final'!$AB$115="Muy Baja",'Mapa final'!$AD$115="Moderado"),CONCATENATE("R39C",'Mapa final'!$R$115),"")</f>
        <v/>
      </c>
      <c r="Q244" s="50" t="str">
        <f>IF(AND('Mapa final'!$AB$116="Muy Baja",'Mapa final'!$AD$116="Moderado"),CONCATENATE("R39C",'Mapa final'!$R$116),"")</f>
        <v/>
      </c>
      <c r="R244" s="111" t="str">
        <f>IF(AND('Mapa final'!$AB$117="Muy Baja",'Mapa final'!$AD$117="Moderado"),CONCATENATE("R39C",'Mapa final'!$R$117),"")</f>
        <v/>
      </c>
      <c r="S244" s="105" t="str">
        <f>IF(AND('Mapa final'!$AB$115="Muy Baja",'Mapa final'!$AD$115="Mayor"),CONCATENATE("R39C",'Mapa final'!$R$115),"")</f>
        <v/>
      </c>
      <c r="T244" s="42" t="str">
        <f>IF(AND('Mapa final'!$AB$116="Muy Baja",'Mapa final'!$AD$116="Mayor"),CONCATENATE("R39C",'Mapa final'!$R$116),"")</f>
        <v/>
      </c>
      <c r="U244" s="106" t="str">
        <f>IF(AND('Mapa final'!$AB$117="Muy Baja",'Mapa final'!$AD$117="Mayor"),CONCATENATE("R39C",'Mapa final'!$R$117),"")</f>
        <v/>
      </c>
      <c r="V244" s="43" t="str">
        <f>IF(AND('Mapa final'!$AB$115="Muy Baja",'Mapa final'!$AD$115="Catastrófico"),CONCATENATE("R39C",'Mapa final'!$R$115),"")</f>
        <v/>
      </c>
      <c r="W244" s="44" t="str">
        <f>IF(AND('Mapa final'!$AB$116="Muy Baja",'Mapa final'!$AD$116="Catastrófico"),CONCATENATE("R39C",'Mapa final'!$R$116),"")</f>
        <v/>
      </c>
      <c r="X244" s="100" t="str">
        <f>IF(AND('Mapa final'!$AB$117="Muy Baja",'Mapa final'!$AD$117="Catastrófico"),CONCATENATE("R39C",'Mapa final'!$R$117),"")</f>
        <v/>
      </c>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row>
    <row r="245" spans="1:65" ht="15" customHeight="1" x14ac:dyDescent="0.35">
      <c r="A245" s="56"/>
      <c r="B245" s="307"/>
      <c r="C245" s="307"/>
      <c r="D245" s="308"/>
      <c r="E245" s="284"/>
      <c r="F245" s="297"/>
      <c r="G245" s="297"/>
      <c r="H245" s="297"/>
      <c r="I245" s="279"/>
      <c r="J245" s="115" t="str">
        <f>IF(AND('Mapa final'!$AB$118="Muy Baja",'Mapa final'!$AD$118="Leve"),CONCATENATE("R40C",'Mapa final'!$R$118),"")</f>
        <v/>
      </c>
      <c r="K245" s="54" t="str">
        <f>IF(AND('Mapa final'!$AB$119="Muy Baja",'Mapa final'!$AD$119="Leve"),CONCATENATE("R40C",'Mapa final'!$R$119),"")</f>
        <v/>
      </c>
      <c r="L245" s="116" t="str">
        <f>IF(AND('Mapa final'!$AB$120="Muy Baja",'Mapa final'!$AD$120="Leve"),CONCATENATE("R40C",'Mapa final'!$R$120),"")</f>
        <v/>
      </c>
      <c r="M245" s="115" t="str">
        <f>IF(AND('Mapa final'!$AB$118="Muy Baja",'Mapa final'!$AD$118="Menor"),CONCATENATE("R40C",'Mapa final'!$R$118),"")</f>
        <v/>
      </c>
      <c r="N245" s="54" t="str">
        <f>IF(AND('Mapa final'!$AB$119="Muy Baja",'Mapa final'!$AD$119="Menor"),CONCATENATE("R40C",'Mapa final'!$R$119),"")</f>
        <v/>
      </c>
      <c r="O245" s="116" t="str">
        <f>IF(AND('Mapa final'!$AB$120="Muy Baja",'Mapa final'!$AD$120="Menor"),CONCATENATE("R40C",'Mapa final'!$R$120),"")</f>
        <v/>
      </c>
      <c r="P245" s="49" t="str">
        <f>IF(AND('Mapa final'!$AB$118="Muy Baja",'Mapa final'!$AD$118="Moderado"),CONCATENATE("R40C",'Mapa final'!$R$118),"")</f>
        <v/>
      </c>
      <c r="Q245" s="50" t="str">
        <f>IF(AND('Mapa final'!$AB$119="Muy Baja",'Mapa final'!$AD$119="Moderado"),CONCATENATE("R40C",'Mapa final'!$R$119),"")</f>
        <v/>
      </c>
      <c r="R245" s="111" t="str">
        <f>IF(AND('Mapa final'!$AB$120="Muy Baja",'Mapa final'!$AD$120="Moderado"),CONCATENATE("R40C",'Mapa final'!$R$120),"")</f>
        <v/>
      </c>
      <c r="S245" s="105" t="str">
        <f>IF(AND('Mapa final'!$AB$118="Muy Baja",'Mapa final'!$AD$118="Mayor"),CONCATENATE("R40C",'Mapa final'!$R$118),"")</f>
        <v/>
      </c>
      <c r="T245" s="42" t="str">
        <f>IF(AND('Mapa final'!$AB$119="Muy Baja",'Mapa final'!$AD$119="Mayor"),CONCATENATE("R40C",'Mapa final'!$R$119),"")</f>
        <v/>
      </c>
      <c r="U245" s="106" t="str">
        <f>IF(AND('Mapa final'!$AB$120="Muy Baja",'Mapa final'!$AD$120="Mayor"),CONCATENATE("R40C",'Mapa final'!$R$120),"")</f>
        <v/>
      </c>
      <c r="V245" s="43" t="str">
        <f>IF(AND('Mapa final'!$AB$118="Muy Baja",'Mapa final'!$AD$118="Catastrófico"),CONCATENATE("R40C",'Mapa final'!$R$118),"")</f>
        <v/>
      </c>
      <c r="W245" s="44" t="str">
        <f>IF(AND('Mapa final'!$AB$119="Muy Baja",'Mapa final'!$AD$119="Catastrófico"),CONCATENATE("R40C",'Mapa final'!$R$119),"")</f>
        <v/>
      </c>
      <c r="X245" s="100" t="str">
        <f>IF(AND('Mapa final'!$AB$120="Muy Baja",'Mapa final'!$AD$120="Catastrófico"),CONCATENATE("R40C",'Mapa final'!$R$120),"")</f>
        <v/>
      </c>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row>
    <row r="246" spans="1:65" ht="15" customHeight="1" x14ac:dyDescent="0.35">
      <c r="A246" s="56"/>
      <c r="B246" s="307"/>
      <c r="C246" s="307"/>
      <c r="D246" s="308"/>
      <c r="E246" s="284"/>
      <c r="F246" s="297"/>
      <c r="G246" s="297"/>
      <c r="H246" s="297"/>
      <c r="I246" s="279"/>
      <c r="J246" s="115" t="str">
        <f>IF(AND('Mapa final'!$AB$121="Muy Baja",'Mapa final'!$AD$121="Leve"),CONCATENATE("R41C",'Mapa final'!$R$121),"")</f>
        <v/>
      </c>
      <c r="K246" s="54" t="str">
        <f>IF(AND('Mapa final'!$AB$122="Muy Baja",'Mapa final'!$AD$122="Leve"),CONCATENATE("R41C",'Mapa final'!$R$122),"")</f>
        <v/>
      </c>
      <c r="L246" s="116" t="str">
        <f>IF(AND('Mapa final'!$AB$123="Muy Baja",'Mapa final'!$AD$123="Leve"),CONCATENATE("R41C",'Mapa final'!$R$123),"")</f>
        <v/>
      </c>
      <c r="M246" s="115" t="str">
        <f>IF(AND('Mapa final'!$AB$121="Muy Baja",'Mapa final'!$AD$121="Menor"),CONCATENATE("R41C",'Mapa final'!$R$121),"")</f>
        <v/>
      </c>
      <c r="N246" s="54" t="str">
        <f>IF(AND('Mapa final'!$AB$122="Muy Baja",'Mapa final'!$AD$122="Menor"),CONCATENATE("R41C",'Mapa final'!$R$122),"")</f>
        <v/>
      </c>
      <c r="O246" s="116" t="str">
        <f>IF(AND('Mapa final'!$AB$123="Muy Baja",'Mapa final'!$AD$123="Menor"),CONCATENATE("R41C",'Mapa final'!$R$123),"")</f>
        <v/>
      </c>
      <c r="P246" s="49" t="str">
        <f>IF(AND('Mapa final'!$AB$121="Muy Baja",'Mapa final'!$AD$121="Moderado"),CONCATENATE("R41C",'Mapa final'!$R$121),"")</f>
        <v/>
      </c>
      <c r="Q246" s="50" t="str">
        <f>IF(AND('Mapa final'!$AB$122="Muy Baja",'Mapa final'!$AD$122="Moderado"),CONCATENATE("R41C",'Mapa final'!$R$122),"")</f>
        <v/>
      </c>
      <c r="R246" s="111" t="str">
        <f>IF(AND('Mapa final'!$AB$123="Muy Baja",'Mapa final'!$AD$123="Moderado"),CONCATENATE("R41C",'Mapa final'!$R$123),"")</f>
        <v/>
      </c>
      <c r="S246" s="105" t="str">
        <f>IF(AND('Mapa final'!$AB$121="Muy Baja",'Mapa final'!$AD$121="Mayor"),CONCATENATE("R41C",'Mapa final'!$R$121),"")</f>
        <v/>
      </c>
      <c r="T246" s="42" t="str">
        <f>IF(AND('Mapa final'!$AB$122="Muy Baja",'Mapa final'!$AD$122="Mayor"),CONCATENATE("R41C",'Mapa final'!$R$122),"")</f>
        <v/>
      </c>
      <c r="U246" s="106" t="str">
        <f>IF(AND('Mapa final'!$AB$123="Muy Baja",'Mapa final'!$AD$123="Mayor"),CONCATENATE("R41C",'Mapa final'!$R$123),"")</f>
        <v/>
      </c>
      <c r="V246" s="43" t="str">
        <f>IF(AND('Mapa final'!$AB$121="Muy Baja",'Mapa final'!$AD$121="Catastrófico"),CONCATENATE("R41C",'Mapa final'!$R$121),"")</f>
        <v/>
      </c>
      <c r="W246" s="44" t="str">
        <f>IF(AND('Mapa final'!$AB$122="Muy Baja",'Mapa final'!$AD$122="Catastrófico"),CONCATENATE("R41C",'Mapa final'!$R$122),"")</f>
        <v/>
      </c>
      <c r="X246" s="100" t="str">
        <f>IF(AND('Mapa final'!$AB$123="Muy Baja",'Mapa final'!$AD$123="Catastrófico"),CONCATENATE("R41C",'Mapa final'!$R$123),"")</f>
        <v/>
      </c>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row>
    <row r="247" spans="1:65" ht="15" customHeight="1" x14ac:dyDescent="0.35">
      <c r="A247" s="56"/>
      <c r="B247" s="307"/>
      <c r="C247" s="307"/>
      <c r="D247" s="308"/>
      <c r="E247" s="284"/>
      <c r="F247" s="297"/>
      <c r="G247" s="297"/>
      <c r="H247" s="297"/>
      <c r="I247" s="279"/>
      <c r="J247" s="115" t="str">
        <f>IF(AND('Mapa final'!$AB$124="Muy Baja",'Mapa final'!$AD$124="Leve"),CONCATENATE("R42C",'Mapa final'!$R$124),"")</f>
        <v/>
      </c>
      <c r="K247" s="54" t="str">
        <f>IF(AND('Mapa final'!$AB$125="Muy Baja",'Mapa final'!$AD$125="Leve"),CONCATENATE("R42C",'Mapa final'!$R$125),"")</f>
        <v/>
      </c>
      <c r="L247" s="116" t="str">
        <f>IF(AND('Mapa final'!$AB$126="Muy Baja",'Mapa final'!$AD$126="Leve"),CONCATENATE("R42C",'Mapa final'!$R$126),"")</f>
        <v/>
      </c>
      <c r="M247" s="115" t="str">
        <f>IF(AND('Mapa final'!$AB$124="Muy Baja",'Mapa final'!$AD$124="Menor"),CONCATENATE("R42C",'Mapa final'!$R$124),"")</f>
        <v/>
      </c>
      <c r="N247" s="54" t="str">
        <f>IF(AND('Mapa final'!$AB$125="Muy Baja",'Mapa final'!$AD$125="Menor"),CONCATENATE("R42C",'Mapa final'!$R$125),"")</f>
        <v/>
      </c>
      <c r="O247" s="116" t="str">
        <f>IF(AND('Mapa final'!$AB$126="Muy Baja",'Mapa final'!$AD$126="Menor"),CONCATENATE("R42C",'Mapa final'!$R$126),"")</f>
        <v/>
      </c>
      <c r="P247" s="49" t="str">
        <f>IF(AND('Mapa final'!$AB$124="Muy Baja",'Mapa final'!$AD$124="Moderado"),CONCATENATE("R42C",'Mapa final'!$R$124),"")</f>
        <v/>
      </c>
      <c r="Q247" s="50" t="str">
        <f>IF(AND('Mapa final'!$AB$125="Muy Baja",'Mapa final'!$AD$125="Moderado"),CONCATENATE("R42C",'Mapa final'!$R$125),"")</f>
        <v/>
      </c>
      <c r="R247" s="111" t="str">
        <f>IF(AND('Mapa final'!$AB$126="Muy Baja",'Mapa final'!$AD$126="Moderado"),CONCATENATE("R42C",'Mapa final'!$R$126),"")</f>
        <v/>
      </c>
      <c r="S247" s="105" t="str">
        <f>IF(AND('Mapa final'!$AB$124="Muy Baja",'Mapa final'!$AD$124="Mayor"),CONCATENATE("R42C",'Mapa final'!$R$124),"")</f>
        <v/>
      </c>
      <c r="T247" s="42" t="str">
        <f>IF(AND('Mapa final'!$AB$125="Muy Baja",'Mapa final'!$AD$125="Mayor"),CONCATENATE("R42C",'Mapa final'!$R$125),"")</f>
        <v/>
      </c>
      <c r="U247" s="106" t="str">
        <f>IF(AND('Mapa final'!$AB$126="Muy Baja",'Mapa final'!$AD$126="Mayor"),CONCATENATE("R42C",'Mapa final'!$R$126),"")</f>
        <v/>
      </c>
      <c r="V247" s="43" t="str">
        <f>IF(AND('Mapa final'!$AB$124="Muy Baja",'Mapa final'!$AD$124="Catastrófico"),CONCATENATE("R42C",'Mapa final'!$R$124),"")</f>
        <v/>
      </c>
      <c r="W247" s="44" t="str">
        <f>IF(AND('Mapa final'!$AB$125="Muy Baja",'Mapa final'!$AD$125="Catastrófico"),CONCATENATE("R42C",'Mapa final'!$R$125),"")</f>
        <v/>
      </c>
      <c r="X247" s="100" t="str">
        <f>IF(AND('Mapa final'!$AB$126="Muy Baja",'Mapa final'!$AD$126="Catastrófico"),CONCATENATE("R42C",'Mapa final'!$R$126),"")</f>
        <v/>
      </c>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row>
    <row r="248" spans="1:65" ht="15" customHeight="1" x14ac:dyDescent="0.35">
      <c r="A248" s="56"/>
      <c r="B248" s="307"/>
      <c r="C248" s="307"/>
      <c r="D248" s="308"/>
      <c r="E248" s="284"/>
      <c r="F248" s="297"/>
      <c r="G248" s="297"/>
      <c r="H248" s="297"/>
      <c r="I248" s="279"/>
      <c r="J248" s="115" t="str">
        <f>IF(AND('Mapa final'!$AB$127="Muy Baja",'Mapa final'!$AD$127="Leve"),CONCATENATE("R43C",'Mapa final'!$R$127),"")</f>
        <v/>
      </c>
      <c r="K248" s="54" t="str">
        <f>IF(AND('Mapa final'!$AB$128="Muy Baja",'Mapa final'!$AD$128="Leve"),CONCATENATE("R43C",'Mapa final'!$R$128),"")</f>
        <v/>
      </c>
      <c r="L248" s="116" t="str">
        <f>IF(AND('Mapa final'!$AB$129="Muy Baja",'Mapa final'!$AD$129="Leve"),CONCATENATE("R43C",'Mapa final'!$R$129),"")</f>
        <v/>
      </c>
      <c r="M248" s="115" t="str">
        <f>IF(AND('Mapa final'!$AB$127="Muy Baja",'Mapa final'!$AD$127="Menor"),CONCATENATE("R43C",'Mapa final'!$R$127),"")</f>
        <v/>
      </c>
      <c r="N248" s="54" t="str">
        <f>IF(AND('Mapa final'!$AB$128="Muy Baja",'Mapa final'!$AD$128="Menor"),CONCATENATE("R43C",'Mapa final'!$R$128),"")</f>
        <v/>
      </c>
      <c r="O248" s="116" t="str">
        <f>IF(AND('Mapa final'!$AB$129="Muy Baja",'Mapa final'!$AD$129="Menor"),CONCATENATE("R43C",'Mapa final'!$R$129),"")</f>
        <v/>
      </c>
      <c r="P248" s="49" t="str">
        <f>IF(AND('Mapa final'!$AB$127="Muy Baja",'Mapa final'!$AD$127="Moderado"),CONCATENATE("R43C",'Mapa final'!$R$127),"")</f>
        <v/>
      </c>
      <c r="Q248" s="50" t="str">
        <f>IF(AND('Mapa final'!$AB$128="Muy Baja",'Mapa final'!$AD$128="Moderado"),CONCATENATE("R43C",'Mapa final'!$R$128),"")</f>
        <v/>
      </c>
      <c r="R248" s="111" t="str">
        <f>IF(AND('Mapa final'!$AB$129="Muy Baja",'Mapa final'!$AD$129="Moderado"),CONCATENATE("R43C",'Mapa final'!$R$129),"")</f>
        <v/>
      </c>
      <c r="S248" s="105" t="str">
        <f>IF(AND('Mapa final'!$AB$127="Muy Baja",'Mapa final'!$AD$127="Mayor"),CONCATENATE("R43C",'Mapa final'!$R$127),"")</f>
        <v/>
      </c>
      <c r="T248" s="42" t="str">
        <f>IF(AND('Mapa final'!$AB$128="Muy Baja",'Mapa final'!$AD$128="Mayor"),CONCATENATE("R43C",'Mapa final'!$R$128),"")</f>
        <v/>
      </c>
      <c r="U248" s="106" t="str">
        <f>IF(AND('Mapa final'!$AB$129="Muy Baja",'Mapa final'!$AD$129="Mayor"),CONCATENATE("R43C",'Mapa final'!$R$129),"")</f>
        <v>R43C3</v>
      </c>
      <c r="V248" s="43" t="str">
        <f>IF(AND('Mapa final'!$AB$127="Muy Baja",'Mapa final'!$AD$127="Catastrófico"),CONCATENATE("R43C",'Mapa final'!$R$127),"")</f>
        <v/>
      </c>
      <c r="W248" s="44" t="str">
        <f>IF(AND('Mapa final'!$AB$128="Muy Baja",'Mapa final'!$AD$128="Catastrófico"),CONCATENATE("R43C",'Mapa final'!$R$128),"")</f>
        <v/>
      </c>
      <c r="X248" s="100" t="str">
        <f>IF(AND('Mapa final'!$AB$129="Muy Baja",'Mapa final'!$AD$129="Catastrófico"),CONCATENATE("R43C",'Mapa final'!$R$129),"")</f>
        <v/>
      </c>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row>
    <row r="249" spans="1:65" ht="15" customHeight="1" x14ac:dyDescent="0.35">
      <c r="A249" s="56"/>
      <c r="B249" s="307"/>
      <c r="C249" s="307"/>
      <c r="D249" s="308"/>
      <c r="E249" s="284"/>
      <c r="F249" s="297"/>
      <c r="G249" s="297"/>
      <c r="H249" s="297"/>
      <c r="I249" s="279"/>
      <c r="J249" s="115" t="str">
        <f>IF(AND('Mapa final'!$AB$130="Muy Baja",'Mapa final'!$AD$130="Leve"),CONCATENATE("R44C",'Mapa final'!$R$130),"")</f>
        <v/>
      </c>
      <c r="K249" s="54" t="str">
        <f>IF(AND('Mapa final'!$AB$131="Muy Baja",'Mapa final'!$AD$131="Leve"),CONCATENATE("R44C",'Mapa final'!$R$131),"")</f>
        <v/>
      </c>
      <c r="L249" s="116" t="str">
        <f>IF(AND('Mapa final'!$AB$132="Muy Baja",'Mapa final'!$AD$132="Leve"),CONCATENATE("R44C",'Mapa final'!$R$132),"")</f>
        <v/>
      </c>
      <c r="M249" s="115" t="str">
        <f>IF(AND('Mapa final'!$AB$130="Muy Baja",'Mapa final'!$AD$130="Menor"),CONCATENATE("R44C",'Mapa final'!$R$130),"")</f>
        <v/>
      </c>
      <c r="N249" s="54" t="str">
        <f>IF(AND('Mapa final'!$AB$131="Muy Baja",'Mapa final'!$AD$131="Menor"),CONCATENATE("R44C",'Mapa final'!$R$131),"")</f>
        <v/>
      </c>
      <c r="O249" s="116" t="str">
        <f>IF(AND('Mapa final'!$AB$132="Muy Baja",'Mapa final'!$AD$132="Menor"),CONCATENATE("R44C",'Mapa final'!$R$132),"")</f>
        <v/>
      </c>
      <c r="P249" s="49" t="str">
        <f>IF(AND('Mapa final'!$AB$130="Muy Baja",'Mapa final'!$AD$130="Moderado"),CONCATENATE("R44C",'Mapa final'!$R$130),"")</f>
        <v/>
      </c>
      <c r="Q249" s="50" t="str">
        <f>IF(AND('Mapa final'!$AB$131="Muy Baja",'Mapa final'!$AD$131="Moderado"),CONCATENATE("R44C",'Mapa final'!$R$131),"")</f>
        <v/>
      </c>
      <c r="R249" s="111" t="str">
        <f>IF(AND('Mapa final'!$AB$132="Muy Baja",'Mapa final'!$AD$132="Moderado"),CONCATENATE("R44C",'Mapa final'!$R$132),"")</f>
        <v/>
      </c>
      <c r="S249" s="105" t="str">
        <f>IF(AND('Mapa final'!$AB$130="Muy Baja",'Mapa final'!$AD$130="Mayor"),CONCATENATE("R44C",'Mapa final'!$R$130),"")</f>
        <v/>
      </c>
      <c r="T249" s="42" t="str">
        <f>IF(AND('Mapa final'!$AB$131="Muy Baja",'Mapa final'!$AD$131="Mayor"),CONCATENATE("R44C",'Mapa final'!$R$131),"")</f>
        <v/>
      </c>
      <c r="U249" s="106" t="str">
        <f>IF(AND('Mapa final'!$AB$132="Muy Baja",'Mapa final'!$AD$132="Mayor"),CONCATENATE("R44C",'Mapa final'!$R$132),"")</f>
        <v/>
      </c>
      <c r="V249" s="43" t="str">
        <f>IF(AND('Mapa final'!$AB$130="Muy Baja",'Mapa final'!$AD$130="Catastrófico"),CONCATENATE("R44C",'Mapa final'!$R$130),"")</f>
        <v/>
      </c>
      <c r="W249" s="44" t="str">
        <f>IF(AND('Mapa final'!$AB$131="Muy Baja",'Mapa final'!$AD$131="Catastrófico"),CONCATENATE("R44C",'Mapa final'!$R$131),"")</f>
        <v/>
      </c>
      <c r="X249" s="100" t="str">
        <f>IF(AND('Mapa final'!$AB$132="Muy Baja",'Mapa final'!$AD$132="Catastrófico"),CONCATENATE("R44C",'Mapa final'!$R$132),"")</f>
        <v/>
      </c>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row>
    <row r="250" spans="1:65" ht="15" customHeight="1" x14ac:dyDescent="0.35">
      <c r="A250" s="56"/>
      <c r="B250" s="307"/>
      <c r="C250" s="307"/>
      <c r="D250" s="308"/>
      <c r="E250" s="284"/>
      <c r="F250" s="297"/>
      <c r="G250" s="297"/>
      <c r="H250" s="297"/>
      <c r="I250" s="279"/>
      <c r="J250" s="115" t="str">
        <f>IF(AND('Mapa final'!$AB$133="Muy Baja",'Mapa final'!$AD$133="Leve"),CONCATENATE("R45C",'Mapa final'!$R$133),"")</f>
        <v/>
      </c>
      <c r="K250" s="54" t="str">
        <f>IF(AND('Mapa final'!$AB$134="Muy Baja",'Mapa final'!$AD$134="Leve"),CONCATENATE("R45C",'Mapa final'!$R$134),"")</f>
        <v/>
      </c>
      <c r="L250" s="116" t="str">
        <f>IF(AND('Mapa final'!$AB$135="Muy Baja",'Mapa final'!$AD$135="Leve"),CONCATENATE("R45C",'Mapa final'!$R$135),"")</f>
        <v/>
      </c>
      <c r="M250" s="115" t="str">
        <f>IF(AND('Mapa final'!$AB$133="Muy Baja",'Mapa final'!$AD$133="Menor"),CONCATENATE("R45C",'Mapa final'!$R$133),"")</f>
        <v/>
      </c>
      <c r="N250" s="54" t="str">
        <f>IF(AND('Mapa final'!$AB$134="Muy Baja",'Mapa final'!$AD$134="Menor"),CONCATENATE("R45C",'Mapa final'!$R$134),"")</f>
        <v/>
      </c>
      <c r="O250" s="116" t="str">
        <f>IF(AND('Mapa final'!$AB$135="Muy Baja",'Mapa final'!$AD$135="Menor"),CONCATENATE("R45C",'Mapa final'!$R$135),"")</f>
        <v/>
      </c>
      <c r="P250" s="49" t="str">
        <f>IF(AND('Mapa final'!$AB$133="Muy Baja",'Mapa final'!$AD$133="Moderado"),CONCATENATE("R45C",'Mapa final'!$R$133),"")</f>
        <v/>
      </c>
      <c r="Q250" s="50" t="str">
        <f>IF(AND('Mapa final'!$AB$134="Muy Baja",'Mapa final'!$AD$134="Moderado"),CONCATENATE("R45C",'Mapa final'!$R$134),"")</f>
        <v/>
      </c>
      <c r="R250" s="111" t="str">
        <f>IF(AND('Mapa final'!$AB$135="Muy Baja",'Mapa final'!$AD$135="Moderado"),CONCATENATE("R45C",'Mapa final'!$R$135),"")</f>
        <v/>
      </c>
      <c r="S250" s="105" t="str">
        <f>IF(AND('Mapa final'!$AB$133="Muy Baja",'Mapa final'!$AD$133="Mayor"),CONCATENATE("R45C",'Mapa final'!$R$133),"")</f>
        <v/>
      </c>
      <c r="T250" s="42" t="str">
        <f>IF(AND('Mapa final'!$AB$134="Muy Baja",'Mapa final'!$AD$134="Mayor"),CONCATENATE("R45C",'Mapa final'!$R$134),"")</f>
        <v/>
      </c>
      <c r="U250" s="106" t="str">
        <f>IF(AND('Mapa final'!$AB$135="Muy Baja",'Mapa final'!$AD$135="Mayor"),CONCATENATE("R45C",'Mapa final'!$R$135),"")</f>
        <v/>
      </c>
      <c r="V250" s="43" t="str">
        <f>IF(AND('Mapa final'!$AB$133="Muy Baja",'Mapa final'!$AD$133="Catastrófico"),CONCATENATE("R45C",'Mapa final'!$R$133),"")</f>
        <v/>
      </c>
      <c r="W250" s="44" t="str">
        <f>IF(AND('Mapa final'!$AB$134="Muy Baja",'Mapa final'!$AD$134="Catastrófico"),CONCATENATE("R45C",'Mapa final'!$R$134),"")</f>
        <v/>
      </c>
      <c r="X250" s="100" t="str">
        <f>IF(AND('Mapa final'!$AB$135="Muy Baja",'Mapa final'!$AD$135="Catastrófico"),CONCATENATE("R45C",'Mapa final'!$R$135),"")</f>
        <v/>
      </c>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row>
    <row r="251" spans="1:65" ht="15" customHeight="1" x14ac:dyDescent="0.35">
      <c r="A251" s="56"/>
      <c r="B251" s="307"/>
      <c r="C251" s="307"/>
      <c r="D251" s="308"/>
      <c r="E251" s="284"/>
      <c r="F251" s="297"/>
      <c r="G251" s="297"/>
      <c r="H251" s="297"/>
      <c r="I251" s="279"/>
      <c r="J251" s="115" t="str">
        <f>IF(AND('Mapa final'!$AB$136="Muy Baja",'Mapa final'!$AD$136="Leve"),CONCATENATE("R46C",'Mapa final'!$R$136),"")</f>
        <v/>
      </c>
      <c r="K251" s="54" t="str">
        <f>IF(AND('Mapa final'!$AB$137="Muy Baja",'Mapa final'!$AD$137="Leve"),CONCATENATE("R46C",'Mapa final'!$R$137),"")</f>
        <v/>
      </c>
      <c r="L251" s="116" t="str">
        <f>IF(AND('Mapa final'!$AB$138="Muy Baja",'Mapa final'!$AD$138="Leve"),CONCATENATE("R46C",'Mapa final'!$R$138),"")</f>
        <v/>
      </c>
      <c r="M251" s="115" t="str">
        <f>IF(AND('Mapa final'!$AB$136="Muy Baja",'Mapa final'!$AD$136="Menor"),CONCATENATE("R46C",'Mapa final'!$R$136),"")</f>
        <v/>
      </c>
      <c r="N251" s="54" t="str">
        <f>IF(AND('Mapa final'!$AB$137="Muy Baja",'Mapa final'!$AD$137="Menor"),CONCATENATE("R46C",'Mapa final'!$R$137),"")</f>
        <v/>
      </c>
      <c r="O251" s="116" t="str">
        <f>IF(AND('Mapa final'!$AB$138="Muy Baja",'Mapa final'!$AD$138="Menor"),CONCATENATE("R46C",'Mapa final'!$R$138),"")</f>
        <v/>
      </c>
      <c r="P251" s="49" t="str">
        <f>IF(AND('Mapa final'!$AB$136="Muy Baja",'Mapa final'!$AD$136="Moderado"),CONCATENATE("R46C",'Mapa final'!$R$136),"")</f>
        <v/>
      </c>
      <c r="Q251" s="50" t="str">
        <f>IF(AND('Mapa final'!$AB$137="Muy Baja",'Mapa final'!$AD$137="Moderado"),CONCATENATE("R46C",'Mapa final'!$R$137),"")</f>
        <v/>
      </c>
      <c r="R251" s="111" t="str">
        <f>IF(AND('Mapa final'!$AB$138="Muy Baja",'Mapa final'!$AD$138="Moderado"),CONCATENATE("R46C",'Mapa final'!$R$138),"")</f>
        <v/>
      </c>
      <c r="S251" s="105" t="str">
        <f>IF(AND('Mapa final'!$AB$136="Muy Baja",'Mapa final'!$AD$136="Mayor"),CONCATENATE("R46C",'Mapa final'!$R$136),"")</f>
        <v/>
      </c>
      <c r="T251" s="42" t="str">
        <f>IF(AND('Mapa final'!$AB$137="Muy Baja",'Mapa final'!$AD$137="Mayor"),CONCATENATE("R46C",'Mapa final'!$R$137),"")</f>
        <v/>
      </c>
      <c r="U251" s="106" t="str">
        <f>IF(AND('Mapa final'!$AB$138="Muy Baja",'Mapa final'!$AD$138="Mayor"),CONCATENATE("R46C",'Mapa final'!$R$138),"")</f>
        <v/>
      </c>
      <c r="V251" s="43" t="str">
        <f>IF(AND('Mapa final'!$AB$136="Muy Baja",'Mapa final'!$AD$136="Catastrófico"),CONCATENATE("R46C",'Mapa final'!$R$136),"")</f>
        <v/>
      </c>
      <c r="W251" s="44" t="str">
        <f>IF(AND('Mapa final'!$AB$137="Muy Baja",'Mapa final'!$AD$137="Catastrófico"),CONCATENATE("R46C",'Mapa final'!$R$137),"")</f>
        <v/>
      </c>
      <c r="X251" s="100" t="str">
        <f>IF(AND('Mapa final'!$AB$138="Muy Baja",'Mapa final'!$AD$138="Catastrófico"),CONCATENATE("R46C",'Mapa final'!$R$138),"")</f>
        <v/>
      </c>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row>
    <row r="252" spans="1:65" ht="15" customHeight="1" x14ac:dyDescent="0.35">
      <c r="A252" s="56"/>
      <c r="B252" s="307"/>
      <c r="C252" s="307"/>
      <c r="D252" s="308"/>
      <c r="E252" s="284"/>
      <c r="F252" s="297"/>
      <c r="G252" s="297"/>
      <c r="H252" s="297"/>
      <c r="I252" s="279"/>
      <c r="J252" s="115" t="str">
        <f>IF(AND('Mapa final'!$AB$139="Muy Baja",'Mapa final'!$AD$139="Leve"),CONCATENATE("R47C",'Mapa final'!$R$139),"")</f>
        <v/>
      </c>
      <c r="K252" s="54" t="str">
        <f>IF(AND('Mapa final'!$AB$140="Muy Baja",'Mapa final'!$AD$140="Leve"),CONCATENATE("R47C",'Mapa final'!$R$140),"")</f>
        <v/>
      </c>
      <c r="L252" s="116" t="str">
        <f>IF(AND('Mapa final'!$AB$141="Muy Baja",'Mapa final'!$AD$141="Leve"),CONCATENATE("R47C",'Mapa final'!$R$141),"")</f>
        <v/>
      </c>
      <c r="M252" s="115" t="str">
        <f>IF(AND('Mapa final'!$AB$139="Muy Baja",'Mapa final'!$AD$139="Menor"),CONCATENATE("R47C",'Mapa final'!$R$139),"")</f>
        <v/>
      </c>
      <c r="N252" s="54" t="str">
        <f>IF(AND('Mapa final'!$AB$140="Muy Baja",'Mapa final'!$AD$140="Menor"),CONCATENATE("R47C",'Mapa final'!$R$140),"")</f>
        <v/>
      </c>
      <c r="O252" s="116" t="str">
        <f>IF(AND('Mapa final'!$AB$141="Muy Baja",'Mapa final'!$AD$141="Menor"),CONCATENATE("R47C",'Mapa final'!$R$141),"")</f>
        <v/>
      </c>
      <c r="P252" s="49" t="str">
        <f>IF(AND('Mapa final'!$AB$139="Muy Baja",'Mapa final'!$AD$139="Moderado"),CONCATENATE("R47C",'Mapa final'!$R$139),"")</f>
        <v/>
      </c>
      <c r="Q252" s="50" t="str">
        <f>IF(AND('Mapa final'!$AB$140="Muy Baja",'Mapa final'!$AD$140="Moderado"),CONCATENATE("R47C",'Mapa final'!$R$140),"")</f>
        <v/>
      </c>
      <c r="R252" s="111" t="str">
        <f>IF(AND('Mapa final'!$AB$141="Muy Baja",'Mapa final'!$AD$141="Moderado"),CONCATENATE("R47C",'Mapa final'!$R$141),"")</f>
        <v/>
      </c>
      <c r="S252" s="105" t="str">
        <f>IF(AND('Mapa final'!$AB$139="Muy Baja",'Mapa final'!$AD$139="Mayor"),CONCATENATE("R47C",'Mapa final'!$R$139),"")</f>
        <v/>
      </c>
      <c r="T252" s="42" t="str">
        <f>IF(AND('Mapa final'!$AB$140="Muy Baja",'Mapa final'!$AD$140="Mayor"),CONCATENATE("R47C",'Mapa final'!$R$140),"")</f>
        <v/>
      </c>
      <c r="U252" s="106" t="str">
        <f>IF(AND('Mapa final'!$AB$141="Muy Baja",'Mapa final'!$AD$141="Mayor"),CONCATENATE("R47C",'Mapa final'!$R$141),"")</f>
        <v/>
      </c>
      <c r="V252" s="43" t="str">
        <f>IF(AND('Mapa final'!$AB$139="Muy Baja",'Mapa final'!$AD$139="Catastrófico"),CONCATENATE("R47C",'Mapa final'!$R$139),"")</f>
        <v/>
      </c>
      <c r="W252" s="44" t="str">
        <f>IF(AND('Mapa final'!$AB$140="Muy Baja",'Mapa final'!$AD$140="Catastrófico"),CONCATENATE("R47C",'Mapa final'!$R$140),"")</f>
        <v/>
      </c>
      <c r="X252" s="100" t="str">
        <f>IF(AND('Mapa final'!$AB$141="Muy Baja",'Mapa final'!$AD$141="Catastrófico"),CONCATENATE("R47C",'Mapa final'!$R$141),"")</f>
        <v/>
      </c>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row>
    <row r="253" spans="1:65" ht="15" customHeight="1" x14ac:dyDescent="0.35">
      <c r="A253" s="56"/>
      <c r="B253" s="307"/>
      <c r="C253" s="307"/>
      <c r="D253" s="308"/>
      <c r="E253" s="284"/>
      <c r="F253" s="297"/>
      <c r="G253" s="297"/>
      <c r="H253" s="297"/>
      <c r="I253" s="279"/>
      <c r="J253" s="115" t="str">
        <f>IF(AND('Mapa final'!$AB$142="Muy Baja",'Mapa final'!$AD$142="Leve"),CONCATENATE("R48C",'Mapa final'!$R$142),"")</f>
        <v/>
      </c>
      <c r="K253" s="54" t="str">
        <f>IF(AND('Mapa final'!$AB$143="Muy Baja",'Mapa final'!$AD$143="Leve"),CONCATENATE("R48C",'Mapa final'!$R$143),"")</f>
        <v/>
      </c>
      <c r="L253" s="116" t="str">
        <f>IF(AND('Mapa final'!$AB$144="Muy Baja",'Mapa final'!$AD$144="Leve"),CONCATENATE("R48C",'Mapa final'!$R$144),"")</f>
        <v/>
      </c>
      <c r="M253" s="115" t="str">
        <f>IF(AND('Mapa final'!$AB$142="Muy Baja",'Mapa final'!$AD$142="Menor"),CONCATENATE("R48C",'Mapa final'!$R$142),"")</f>
        <v/>
      </c>
      <c r="N253" s="54" t="str">
        <f>IF(AND('Mapa final'!$AB$143="Muy Baja",'Mapa final'!$AD$143="Menor"),CONCATENATE("R48C",'Mapa final'!$R$143),"")</f>
        <v/>
      </c>
      <c r="O253" s="116" t="str">
        <f>IF(AND('Mapa final'!$AB$144="Muy Baja",'Mapa final'!$AD$144="Menor"),CONCATENATE("R48C",'Mapa final'!$R$144),"")</f>
        <v/>
      </c>
      <c r="P253" s="49" t="str">
        <f>IF(AND('Mapa final'!$AB$142="Muy Baja",'Mapa final'!$AD$142="Moderado"),CONCATENATE("R48C",'Mapa final'!$R$142),"")</f>
        <v/>
      </c>
      <c r="Q253" s="50" t="str">
        <f>IF(AND('Mapa final'!$AB$143="Muy Baja",'Mapa final'!$AD$143="Moderado"),CONCATENATE("R48C",'Mapa final'!$R$143),"")</f>
        <v/>
      </c>
      <c r="R253" s="111" t="str">
        <f>IF(AND('Mapa final'!$AB$144="Muy Baja",'Mapa final'!$AD$144="Moderado"),CONCATENATE("R48C",'Mapa final'!$R$144),"")</f>
        <v/>
      </c>
      <c r="S253" s="105" t="str">
        <f>IF(AND('Mapa final'!$AB$142="Muy Baja",'Mapa final'!$AD$142="Mayor"),CONCATENATE("R48C",'Mapa final'!$R$142),"")</f>
        <v/>
      </c>
      <c r="T253" s="42" t="str">
        <f>IF(AND('Mapa final'!$AB$143="Muy Baja",'Mapa final'!$AD$143="Mayor"),CONCATENATE("R48C",'Mapa final'!$R$143),"")</f>
        <v/>
      </c>
      <c r="U253" s="106" t="str">
        <f>IF(AND('Mapa final'!$AB$144="Muy Baja",'Mapa final'!$AD$144="Mayor"),CONCATENATE("R48C",'Mapa final'!$R$144),"")</f>
        <v/>
      </c>
      <c r="V253" s="43" t="str">
        <f>IF(AND('Mapa final'!$AB$142="Muy Baja",'Mapa final'!$AD$142="Catastrófico"),CONCATENATE("R48C",'Mapa final'!$R$142),"")</f>
        <v/>
      </c>
      <c r="W253" s="44" t="str">
        <f>IF(AND('Mapa final'!$AB$143="Muy Baja",'Mapa final'!$AD$143="Catastrófico"),CONCATENATE("R48C",'Mapa final'!$R$143),"")</f>
        <v/>
      </c>
      <c r="X253" s="100" t="str">
        <f>IF(AND('Mapa final'!$AB$144="Muy Baja",'Mapa final'!$AD$144="Catastrófico"),CONCATENATE("R48C",'Mapa final'!$R$144),"")</f>
        <v/>
      </c>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row>
    <row r="254" spans="1:65" ht="15" customHeight="1" x14ac:dyDescent="0.35">
      <c r="A254" s="56"/>
      <c r="B254" s="307"/>
      <c r="C254" s="307"/>
      <c r="D254" s="308"/>
      <c r="E254" s="284"/>
      <c r="F254" s="297"/>
      <c r="G254" s="297"/>
      <c r="H254" s="297"/>
      <c r="I254" s="279"/>
      <c r="J254" s="115" t="str">
        <f>IF(AND('Mapa final'!$AB$145="Muy Baja",'Mapa final'!$AD$145="Leve"),CONCATENATE("R49C",'Mapa final'!$R$145),"")</f>
        <v/>
      </c>
      <c r="K254" s="54" t="str">
        <f>IF(AND('Mapa final'!$AB$146="Muy Baja",'Mapa final'!$AD$146="Leve"),CONCATENATE("R49C",'Mapa final'!$R$146),"")</f>
        <v/>
      </c>
      <c r="L254" s="116" t="str">
        <f>IF(AND('Mapa final'!$AB$147="Muy Baja",'Mapa final'!$AD$147="Leve"),CONCATENATE("R49C",'Mapa final'!$R$147),"")</f>
        <v/>
      </c>
      <c r="M254" s="115" t="str">
        <f>IF(AND('Mapa final'!$AB$145="Muy Baja",'Mapa final'!$AD$145="Menor"),CONCATENATE("R49C",'Mapa final'!$R$145),"")</f>
        <v/>
      </c>
      <c r="N254" s="54" t="str">
        <f>IF(AND('Mapa final'!$AB$146="Muy Baja",'Mapa final'!$AD$146="Menor"),CONCATENATE("R49C",'Mapa final'!$R$146),"")</f>
        <v/>
      </c>
      <c r="O254" s="116" t="str">
        <f>IF(AND('Mapa final'!$AB$147="Muy Baja",'Mapa final'!$AD$147="Menor"),CONCATENATE("R49C",'Mapa final'!$R$147),"")</f>
        <v/>
      </c>
      <c r="P254" s="49" t="str">
        <f>IF(AND('Mapa final'!$AB$145="Muy Baja",'Mapa final'!$AD$145="Moderado"),CONCATENATE("R49C",'Mapa final'!$R$145),"")</f>
        <v/>
      </c>
      <c r="Q254" s="50" t="str">
        <f>IF(AND('Mapa final'!$AB$146="Muy Baja",'Mapa final'!$AD$146="Moderado"),CONCATENATE("R49C",'Mapa final'!$R$146),"")</f>
        <v/>
      </c>
      <c r="R254" s="111" t="str">
        <f>IF(AND('Mapa final'!$AB$147="Muy Baja",'Mapa final'!$AD$147="Moderado"),CONCATENATE("R49C",'Mapa final'!$R$147),"")</f>
        <v/>
      </c>
      <c r="S254" s="105" t="str">
        <f>IF(AND('Mapa final'!$AB$145="Muy Baja",'Mapa final'!$AD$145="Mayor"),CONCATENATE("R49C",'Mapa final'!$R$145),"")</f>
        <v/>
      </c>
      <c r="T254" s="42" t="str">
        <f>IF(AND('Mapa final'!$AB$146="Muy Baja",'Mapa final'!$AD$146="Mayor"),CONCATENATE("R49C",'Mapa final'!$R$146),"")</f>
        <v/>
      </c>
      <c r="U254" s="106" t="str">
        <f>IF(AND('Mapa final'!$AB$147="Muy Baja",'Mapa final'!$AD$147="Mayor"),CONCATENATE("R49C",'Mapa final'!$R$147),"")</f>
        <v/>
      </c>
      <c r="V254" s="43" t="str">
        <f>IF(AND('Mapa final'!$AB$145="Muy Baja",'Mapa final'!$AD$145="Catastrófico"),CONCATENATE("R49C",'Mapa final'!$R$145),"")</f>
        <v/>
      </c>
      <c r="W254" s="44" t="str">
        <f>IF(AND('Mapa final'!$AB$146="Muy Baja",'Mapa final'!$AD$146="Catastrófico"),CONCATENATE("R49C",'Mapa final'!$R$146),"")</f>
        <v/>
      </c>
      <c r="X254" s="100" t="str">
        <f>IF(AND('Mapa final'!$AB$147="Muy Baja",'Mapa final'!$AD$147="Catastrófico"),CONCATENATE("R49C",'Mapa final'!$R$147),"")</f>
        <v/>
      </c>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row>
    <row r="255" spans="1:65" ht="15" customHeight="1" thickBot="1" x14ac:dyDescent="0.4">
      <c r="A255" s="56"/>
      <c r="B255" s="307"/>
      <c r="C255" s="307"/>
      <c r="D255" s="308"/>
      <c r="E255" s="284"/>
      <c r="F255" s="297"/>
      <c r="G255" s="297"/>
      <c r="H255" s="297"/>
      <c r="I255" s="279"/>
      <c r="J255" s="117" t="str">
        <f>IF(AND('Mapa final'!$AB$148="Muy Baja",'Mapa final'!$AD$148="Leve"),CONCATENATE("R50C",'Mapa final'!$R$148),"")</f>
        <v/>
      </c>
      <c r="K255" s="55" t="str">
        <f>IF(AND('Mapa final'!$AB$149="Muy Baja",'Mapa final'!$AD$149="Leve"),CONCATENATE("R50C",'Mapa final'!$R$149),"")</f>
        <v/>
      </c>
      <c r="L255" s="118" t="str">
        <f>IF(AND('Mapa final'!$AB$150="Muy Baja",'Mapa final'!$AD$150="Leve"),CONCATENATE("R50C",'Mapa final'!$R$150),"")</f>
        <v/>
      </c>
      <c r="M255" s="117" t="str">
        <f>IF(AND('Mapa final'!$AB$148="Muy Baja",'Mapa final'!$AD$148="Menor"),CONCATENATE("R50C",'Mapa final'!$R$148),"")</f>
        <v/>
      </c>
      <c r="N255" s="55" t="str">
        <f>IF(AND('Mapa final'!$AB$149="Muy Baja",'Mapa final'!$AD$149="Menor"),CONCATENATE("R50C",'Mapa final'!$R$149),"")</f>
        <v/>
      </c>
      <c r="O255" s="118" t="str">
        <f>IF(AND('Mapa final'!$AB$150="Muy Baja",'Mapa final'!$AD$150="Menor"),CONCATENATE("R50C",'Mapa final'!$R$150),"")</f>
        <v/>
      </c>
      <c r="P255" s="51" t="str">
        <f>IF(AND('Mapa final'!$AB$148="Muy Baja",'Mapa final'!$AD$148="Moderado"),CONCATENATE("R50C",'Mapa final'!$R$148),"")</f>
        <v/>
      </c>
      <c r="Q255" s="52" t="str">
        <f>IF(AND('Mapa final'!$AB$149="Muy Baja",'Mapa final'!$AD$149="Moderado"),CONCATENATE("R50C",'Mapa final'!$R$149),"")</f>
        <v/>
      </c>
      <c r="R255" s="112" t="str">
        <f>IF(AND('Mapa final'!$AB$150="Muy Baja",'Mapa final'!$AD$150="Moderado"),CONCATENATE("R50C",'Mapa final'!$R$150),"")</f>
        <v/>
      </c>
      <c r="S255" s="107" t="str">
        <f>IF(AND('Mapa final'!$AB$148="Muy Baja",'Mapa final'!$AD$148="Mayor"),CONCATENATE("R50C",'Mapa final'!$R$148),"")</f>
        <v/>
      </c>
      <c r="T255" s="108" t="str">
        <f>IF(AND('Mapa final'!$AB$149="Muy Baja",'Mapa final'!$AD$149="Mayor"),CONCATENATE("R50C",'Mapa final'!$R$149),"")</f>
        <v/>
      </c>
      <c r="U255" s="109" t="str">
        <f>IF(AND('Mapa final'!$AB$150="Muy Baja",'Mapa final'!$AD$150="Mayor"),CONCATENATE("R50C",'Mapa final'!$R$150),"")</f>
        <v/>
      </c>
      <c r="V255" s="45" t="str">
        <f>IF(AND('Mapa final'!$AB$148="Muy Baja",'Mapa final'!$AD$148="Catastrófico"),CONCATENATE("R50C",'Mapa final'!$R$148),"")</f>
        <v/>
      </c>
      <c r="W255" s="46" t="str">
        <f>IF(AND('Mapa final'!$AB$149="Muy Baja",'Mapa final'!$AD$149="Catastrófico"),CONCATENATE("R50C",'Mapa final'!$R$149),"")</f>
        <v/>
      </c>
      <c r="X255" s="101" t="str">
        <f>IF(AND('Mapa final'!$AB$150="Muy Baja",'Mapa final'!$AD$150="Catastrófico"),CONCATENATE("R50C",'Mapa final'!$R$150),"")</f>
        <v/>
      </c>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row>
    <row r="256" spans="1:65" x14ac:dyDescent="0.35">
      <c r="A256" s="56"/>
      <c r="B256" s="56"/>
      <c r="C256" s="56"/>
      <c r="D256" s="56"/>
      <c r="E256" s="56"/>
      <c r="F256" s="56"/>
      <c r="G256" s="56"/>
      <c r="H256" s="56"/>
      <c r="I256" s="56"/>
      <c r="J256" s="278" t="s">
        <v>103</v>
      </c>
      <c r="K256" s="279"/>
      <c r="L256" s="279"/>
      <c r="M256" s="283" t="s">
        <v>102</v>
      </c>
      <c r="N256" s="279"/>
      <c r="O256" s="279"/>
      <c r="P256" s="283" t="s">
        <v>101</v>
      </c>
      <c r="Q256" s="279"/>
      <c r="R256" s="279"/>
      <c r="S256" s="283" t="s">
        <v>100</v>
      </c>
      <c r="T256" s="286"/>
      <c r="U256" s="279"/>
      <c r="V256" s="283" t="s">
        <v>99</v>
      </c>
      <c r="W256" s="279"/>
      <c r="X256" s="287"/>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row>
    <row r="257" spans="1:65" x14ac:dyDescent="0.35">
      <c r="A257" s="56"/>
      <c r="B257" s="56"/>
      <c r="C257" s="56"/>
      <c r="D257" s="56"/>
      <c r="E257" s="56"/>
      <c r="F257" s="56"/>
      <c r="G257" s="56"/>
      <c r="H257" s="56"/>
      <c r="I257" s="56"/>
      <c r="J257" s="280"/>
      <c r="K257" s="279"/>
      <c r="L257" s="279"/>
      <c r="M257" s="284"/>
      <c r="N257" s="279"/>
      <c r="O257" s="279"/>
      <c r="P257" s="284"/>
      <c r="Q257" s="279"/>
      <c r="R257" s="279"/>
      <c r="S257" s="284"/>
      <c r="T257" s="279"/>
      <c r="U257" s="279"/>
      <c r="V257" s="284"/>
      <c r="W257" s="279"/>
      <c r="X257" s="287"/>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row>
    <row r="258" spans="1:65" x14ac:dyDescent="0.35">
      <c r="A258" s="56"/>
      <c r="B258" s="56"/>
      <c r="C258" s="56"/>
      <c r="D258" s="56"/>
      <c r="E258" s="56"/>
      <c r="F258" s="56"/>
      <c r="G258" s="56"/>
      <c r="H258" s="56"/>
      <c r="I258" s="56"/>
      <c r="J258" s="280"/>
      <c r="K258" s="279"/>
      <c r="L258" s="279"/>
      <c r="M258" s="284"/>
      <c r="N258" s="279"/>
      <c r="O258" s="279"/>
      <c r="P258" s="284"/>
      <c r="Q258" s="279"/>
      <c r="R258" s="279"/>
      <c r="S258" s="284"/>
      <c r="T258" s="279"/>
      <c r="U258" s="279"/>
      <c r="V258" s="284"/>
      <c r="W258" s="279"/>
      <c r="X258" s="287"/>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row>
    <row r="259" spans="1:65" x14ac:dyDescent="0.35">
      <c r="A259" s="56"/>
      <c r="B259" s="56"/>
      <c r="C259" s="56"/>
      <c r="D259" s="56"/>
      <c r="E259" s="56"/>
      <c r="F259" s="56"/>
      <c r="G259" s="56"/>
      <c r="H259" s="56"/>
      <c r="I259" s="56"/>
      <c r="J259" s="280"/>
      <c r="K259" s="279"/>
      <c r="L259" s="279"/>
      <c r="M259" s="284"/>
      <c r="N259" s="279"/>
      <c r="O259" s="279"/>
      <c r="P259" s="284"/>
      <c r="Q259" s="279"/>
      <c r="R259" s="279"/>
      <c r="S259" s="284"/>
      <c r="T259" s="279"/>
      <c r="U259" s="279"/>
      <c r="V259" s="284"/>
      <c r="W259" s="279"/>
      <c r="X259" s="287"/>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row>
    <row r="260" spans="1:65" x14ac:dyDescent="0.35">
      <c r="A260" s="56"/>
      <c r="B260" s="56"/>
      <c r="C260" s="56"/>
      <c r="D260" s="56"/>
      <c r="E260" s="56"/>
      <c r="F260" s="56"/>
      <c r="G260" s="56"/>
      <c r="H260" s="56"/>
      <c r="I260" s="56"/>
      <c r="J260" s="280"/>
      <c r="K260" s="279"/>
      <c r="L260" s="279"/>
      <c r="M260" s="284"/>
      <c r="N260" s="279"/>
      <c r="O260" s="279"/>
      <c r="P260" s="284"/>
      <c r="Q260" s="279"/>
      <c r="R260" s="279"/>
      <c r="S260" s="284"/>
      <c r="T260" s="279"/>
      <c r="U260" s="279"/>
      <c r="V260" s="284"/>
      <c r="W260" s="279"/>
      <c r="X260" s="287"/>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row>
    <row r="261" spans="1:65" ht="15" thickBot="1" x14ac:dyDescent="0.4">
      <c r="A261" s="56"/>
      <c r="B261" s="56"/>
      <c r="C261" s="56"/>
      <c r="D261" s="56"/>
      <c r="E261" s="56"/>
      <c r="F261" s="56"/>
      <c r="G261" s="56"/>
      <c r="H261" s="56"/>
      <c r="I261" s="56"/>
      <c r="J261" s="281"/>
      <c r="K261" s="282"/>
      <c r="L261" s="282"/>
      <c r="M261" s="285"/>
      <c r="N261" s="282"/>
      <c r="O261" s="282"/>
      <c r="P261" s="285"/>
      <c r="Q261" s="282"/>
      <c r="R261" s="282"/>
      <c r="S261" s="285"/>
      <c r="T261" s="282"/>
      <c r="U261" s="282"/>
      <c r="V261" s="285"/>
      <c r="W261" s="282"/>
      <c r="X261" s="288"/>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row>
    <row r="262" spans="1:65" x14ac:dyDescent="0.3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row>
    <row r="263" spans="1:65" ht="15" customHeight="1" x14ac:dyDescent="0.35">
      <c r="A263" s="56"/>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56"/>
      <c r="AG263" s="56"/>
      <c r="AH263" s="56"/>
      <c r="AI263" s="56"/>
      <c r="AJ263" s="56"/>
      <c r="AK263" s="56"/>
      <c r="AL263" s="56"/>
      <c r="AM263" s="56"/>
      <c r="AN263" s="56"/>
      <c r="AO263" s="56"/>
      <c r="AP263" s="56"/>
      <c r="AQ263" s="56"/>
      <c r="AR263" s="56"/>
      <c r="AS263" s="56"/>
    </row>
    <row r="264" spans="1:65" ht="15" customHeight="1" x14ac:dyDescent="0.35">
      <c r="A264" s="56"/>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56"/>
      <c r="AG264" s="56"/>
      <c r="AH264" s="56"/>
      <c r="AI264" s="56"/>
      <c r="AJ264" s="56"/>
      <c r="AK264" s="56"/>
      <c r="AL264" s="56"/>
      <c r="AM264" s="56"/>
      <c r="AN264" s="56"/>
      <c r="AO264" s="56"/>
      <c r="AP264" s="56"/>
      <c r="AQ264" s="56"/>
      <c r="AR264" s="56"/>
      <c r="AS264" s="56"/>
    </row>
    <row r="265" spans="1:65" x14ac:dyDescent="0.3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row>
    <row r="266" spans="1:65" x14ac:dyDescent="0.3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row>
    <row r="267" spans="1:65" x14ac:dyDescent="0.3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row>
    <row r="268" spans="1:65" x14ac:dyDescent="0.3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row>
    <row r="269" spans="1:65" x14ac:dyDescent="0.3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row>
    <row r="270" spans="1:65" x14ac:dyDescent="0.3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row>
    <row r="271" spans="1:65" x14ac:dyDescent="0.3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row>
    <row r="272" spans="1:65" x14ac:dyDescent="0.3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row>
    <row r="273" spans="1:45" x14ac:dyDescent="0.3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row>
    <row r="274" spans="1:45" x14ac:dyDescent="0.3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row>
    <row r="275" spans="1:45" x14ac:dyDescent="0.3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row>
    <row r="276" spans="1:45" x14ac:dyDescent="0.3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row>
    <row r="277" spans="1:45" x14ac:dyDescent="0.3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row>
    <row r="278" spans="1:45" x14ac:dyDescent="0.3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row>
    <row r="279" spans="1:45" x14ac:dyDescent="0.3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row>
    <row r="280" spans="1:45" x14ac:dyDescent="0.3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row>
    <row r="281" spans="1:45" x14ac:dyDescent="0.3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row>
    <row r="282" spans="1:45" x14ac:dyDescent="0.3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row>
    <row r="283" spans="1:45" x14ac:dyDescent="0.3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row>
    <row r="284" spans="1:45" x14ac:dyDescent="0.3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row>
    <row r="285" spans="1:45" x14ac:dyDescent="0.3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row>
    <row r="286" spans="1:45" x14ac:dyDescent="0.3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row>
    <row r="287" spans="1:45" x14ac:dyDescent="0.3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row>
    <row r="288" spans="1:45" x14ac:dyDescent="0.3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row>
    <row r="289" spans="1:45" x14ac:dyDescent="0.3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row>
    <row r="290" spans="1:45" x14ac:dyDescent="0.3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row>
    <row r="291" spans="1:45" x14ac:dyDescent="0.3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row>
    <row r="292" spans="1:45" x14ac:dyDescent="0.3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row>
    <row r="293" spans="1:45" x14ac:dyDescent="0.3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row>
    <row r="294" spans="1:45" x14ac:dyDescent="0.3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row>
    <row r="295" spans="1:45" x14ac:dyDescent="0.3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row>
    <row r="296" spans="1:45" x14ac:dyDescent="0.3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row>
    <row r="297" spans="1:45" x14ac:dyDescent="0.3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row>
    <row r="298" spans="1:45" x14ac:dyDescent="0.3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row>
    <row r="299" spans="1:45" x14ac:dyDescent="0.35">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row>
    <row r="300" spans="1:45" x14ac:dyDescent="0.35">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row>
    <row r="301" spans="1:45" x14ac:dyDescent="0.35">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row>
    <row r="302" spans="1:45" x14ac:dyDescent="0.35">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row>
    <row r="303" spans="1:45" x14ac:dyDescent="0.35">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row>
    <row r="304" spans="1:45" x14ac:dyDescent="0.35">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row>
    <row r="305" spans="1:45" x14ac:dyDescent="0.35">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row>
    <row r="306" spans="1:45" x14ac:dyDescent="0.35">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row>
    <row r="307" spans="1:45" x14ac:dyDescent="0.35">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row>
    <row r="308" spans="1:45" x14ac:dyDescent="0.3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row>
    <row r="309" spans="1:45" x14ac:dyDescent="0.35">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row>
    <row r="310" spans="1:45" x14ac:dyDescent="0.35">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row>
    <row r="311" spans="1:45" x14ac:dyDescent="0.3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row>
    <row r="312" spans="1:45" x14ac:dyDescent="0.35">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row>
    <row r="313" spans="1:45" x14ac:dyDescent="0.35">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row>
    <row r="314" spans="1:45" x14ac:dyDescent="0.3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row>
    <row r="315" spans="1:45" x14ac:dyDescent="0.35">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row>
    <row r="316" spans="1:45" x14ac:dyDescent="0.35">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row>
    <row r="317" spans="1:45" x14ac:dyDescent="0.35">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row>
    <row r="318" spans="1:45" x14ac:dyDescent="0.35">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row>
    <row r="319" spans="1:45" x14ac:dyDescent="0.35">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row>
    <row r="320" spans="1:45" x14ac:dyDescent="0.35">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row>
    <row r="321" spans="1:45" x14ac:dyDescent="0.35">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row>
    <row r="322" spans="1:45" x14ac:dyDescent="0.35">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row>
    <row r="323" spans="1:45" x14ac:dyDescent="0.35">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row>
    <row r="324" spans="1:45" x14ac:dyDescent="0.35">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row>
    <row r="325" spans="1:45" x14ac:dyDescent="0.35">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row>
    <row r="326" spans="1:45" x14ac:dyDescent="0.35">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row>
    <row r="327" spans="1:45" x14ac:dyDescent="0.35">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row>
    <row r="328" spans="1:45" x14ac:dyDescent="0.35">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row>
    <row r="329" spans="1:45" x14ac:dyDescent="0.35">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row>
    <row r="330" spans="1:45" x14ac:dyDescent="0.35">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row>
    <row r="331" spans="1:45" x14ac:dyDescent="0.35">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row>
    <row r="332" spans="1:45" x14ac:dyDescent="0.35">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row>
    <row r="333" spans="1:45" x14ac:dyDescent="0.35">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row>
    <row r="334" spans="1:45" x14ac:dyDescent="0.35">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row>
    <row r="335" spans="1:45" x14ac:dyDescent="0.35">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row>
    <row r="336" spans="1:45" x14ac:dyDescent="0.35">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row>
    <row r="337" spans="1:45" x14ac:dyDescent="0.35">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row>
    <row r="338" spans="1:45" x14ac:dyDescent="0.35">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row>
    <row r="339" spans="1:45" x14ac:dyDescent="0.35">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row>
    <row r="340" spans="1:45" x14ac:dyDescent="0.35">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row>
    <row r="341" spans="1:45" x14ac:dyDescent="0.35">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row>
    <row r="342" spans="1:45" x14ac:dyDescent="0.35">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row>
    <row r="343" spans="1:45" x14ac:dyDescent="0.35">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row>
    <row r="344" spans="1:45" x14ac:dyDescent="0.35">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row>
    <row r="345" spans="1:45" x14ac:dyDescent="0.35">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row>
    <row r="346" spans="1:45" x14ac:dyDescent="0.35">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row>
    <row r="347" spans="1:45" x14ac:dyDescent="0.35">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row>
    <row r="348" spans="1:45" x14ac:dyDescent="0.35">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row>
    <row r="349" spans="1:45" x14ac:dyDescent="0.3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row>
    <row r="350" spans="1:45" x14ac:dyDescent="0.3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row>
    <row r="351" spans="1:45" x14ac:dyDescent="0.3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row>
    <row r="352" spans="1:45" x14ac:dyDescent="0.3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row>
    <row r="353" spans="1:45" x14ac:dyDescent="0.3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row>
    <row r="354" spans="1:45" x14ac:dyDescent="0.3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row>
    <row r="355" spans="1:45" x14ac:dyDescent="0.3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row>
    <row r="356" spans="1:45" x14ac:dyDescent="0.3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row>
    <row r="357" spans="1:45" x14ac:dyDescent="0.35">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row>
    <row r="358" spans="1:45" x14ac:dyDescent="0.3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row>
    <row r="359" spans="1:45" x14ac:dyDescent="0.35">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row>
    <row r="360" spans="1:45" x14ac:dyDescent="0.35">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row>
    <row r="361" spans="1:45" x14ac:dyDescent="0.35">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row>
    <row r="362" spans="1:45" x14ac:dyDescent="0.35">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row>
    <row r="363" spans="1:45" x14ac:dyDescent="0.35">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row>
    <row r="364" spans="1:45" x14ac:dyDescent="0.35">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row>
    <row r="365" spans="1:45" x14ac:dyDescent="0.35">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row>
    <row r="366" spans="1:45" x14ac:dyDescent="0.35">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row>
    <row r="367" spans="1:45" x14ac:dyDescent="0.35">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row>
    <row r="368" spans="1:45" x14ac:dyDescent="0.35">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row>
    <row r="369" spans="1:45" x14ac:dyDescent="0.35">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row>
    <row r="370" spans="1:45" x14ac:dyDescent="0.35">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row>
    <row r="371" spans="1:45" x14ac:dyDescent="0.35">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row>
    <row r="372" spans="1:45" x14ac:dyDescent="0.35">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row>
    <row r="373" spans="1:45" x14ac:dyDescent="0.35">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row>
    <row r="374" spans="1:45" x14ac:dyDescent="0.3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row>
    <row r="375" spans="1:45" x14ac:dyDescent="0.35">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row>
    <row r="376" spans="1:45" x14ac:dyDescent="0.35">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row>
    <row r="377" spans="1:45" x14ac:dyDescent="0.35">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row>
    <row r="378" spans="1:45" x14ac:dyDescent="0.35">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row>
    <row r="379" spans="1:45" x14ac:dyDescent="0.35">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row>
    <row r="380" spans="1:45" x14ac:dyDescent="0.35">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row>
    <row r="381" spans="1:45" x14ac:dyDescent="0.35">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row>
    <row r="382" spans="1:45" x14ac:dyDescent="0.35">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row>
    <row r="383" spans="1:45" x14ac:dyDescent="0.35">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row>
    <row r="384" spans="1:45" x14ac:dyDescent="0.3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row>
    <row r="385" spans="1:45" x14ac:dyDescent="0.3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row>
    <row r="386" spans="1:45" x14ac:dyDescent="0.3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row>
    <row r="387" spans="1:45" x14ac:dyDescent="0.3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row>
    <row r="388" spans="1:45" x14ac:dyDescent="0.3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row>
    <row r="389" spans="1:45" x14ac:dyDescent="0.3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row>
    <row r="390" spans="1:45" x14ac:dyDescent="0.3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row>
    <row r="391" spans="1:45" x14ac:dyDescent="0.35">
      <c r="A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row>
    <row r="392" spans="1:45" x14ac:dyDescent="0.35">
      <c r="A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row>
    <row r="393" spans="1:45" x14ac:dyDescent="0.35">
      <c r="A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row>
    <row r="394" spans="1:45" x14ac:dyDescent="0.35">
      <c r="A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row>
    <row r="395" spans="1:45" x14ac:dyDescent="0.35">
      <c r="A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row>
    <row r="396" spans="1:45" x14ac:dyDescent="0.35">
      <c r="A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row>
    <row r="397" spans="1:45" x14ac:dyDescent="0.35">
      <c r="A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row>
    <row r="398" spans="1:45" x14ac:dyDescent="0.35">
      <c r="A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row>
    <row r="399" spans="1:45" x14ac:dyDescent="0.35">
      <c r="A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row>
    <row r="400" spans="1:45" x14ac:dyDescent="0.35">
      <c r="A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row>
    <row r="401" spans="1:45" x14ac:dyDescent="0.35">
      <c r="A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row>
    <row r="402" spans="1:45" x14ac:dyDescent="0.35">
      <c r="A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row>
    <row r="403" spans="1:45" x14ac:dyDescent="0.35">
      <c r="A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row>
    <row r="404" spans="1:45" x14ac:dyDescent="0.35">
      <c r="A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row>
    <row r="405" spans="1:45" x14ac:dyDescent="0.35">
      <c r="A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row>
    <row r="406" spans="1:45" x14ac:dyDescent="0.35">
      <c r="A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row>
    <row r="407" spans="1:45" x14ac:dyDescent="0.35">
      <c r="A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row>
    <row r="408" spans="1:45" x14ac:dyDescent="0.35">
      <c r="A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row>
    <row r="409" spans="1:45" x14ac:dyDescent="0.35">
      <c r="A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row>
    <row r="410" spans="1:45" x14ac:dyDescent="0.35">
      <c r="A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row>
    <row r="411" spans="1:45" x14ac:dyDescent="0.35">
      <c r="A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row>
    <row r="412" spans="1:45" x14ac:dyDescent="0.35">
      <c r="A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row>
    <row r="413" spans="1:45" x14ac:dyDescent="0.35">
      <c r="A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row>
    <row r="414" spans="1:45" x14ac:dyDescent="0.35">
      <c r="A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row>
    <row r="415" spans="1:45" x14ac:dyDescent="0.35">
      <c r="A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row>
    <row r="416" spans="1:45" x14ac:dyDescent="0.35">
      <c r="A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row>
    <row r="417" spans="1:45" x14ac:dyDescent="0.35">
      <c r="A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row>
    <row r="418" spans="1:45" x14ac:dyDescent="0.35">
      <c r="A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row>
    <row r="419" spans="1:45" x14ac:dyDescent="0.35">
      <c r="A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row>
    <row r="420" spans="1:45" x14ac:dyDescent="0.35">
      <c r="A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row>
    <row r="421" spans="1:45" x14ac:dyDescent="0.35">
      <c r="A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row>
    <row r="422" spans="1:45" x14ac:dyDescent="0.35">
      <c r="A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row>
    <row r="423" spans="1:45" x14ac:dyDescent="0.35">
      <c r="A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row>
    <row r="424" spans="1:45" x14ac:dyDescent="0.35">
      <c r="A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row>
    <row r="425" spans="1:45" x14ac:dyDescent="0.35">
      <c r="A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row>
    <row r="426" spans="1:45" x14ac:dyDescent="0.35">
      <c r="A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row>
    <row r="427" spans="1:45" x14ac:dyDescent="0.35">
      <c r="A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row>
    <row r="428" spans="1:45" x14ac:dyDescent="0.35">
      <c r="A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row>
    <row r="429" spans="1:45" x14ac:dyDescent="0.35">
      <c r="A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row>
    <row r="430" spans="1:45" x14ac:dyDescent="0.35">
      <c r="A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row>
    <row r="431" spans="1:45" x14ac:dyDescent="0.35">
      <c r="A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row>
    <row r="432" spans="1:45" x14ac:dyDescent="0.35">
      <c r="A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row>
    <row r="433" spans="1:45" x14ac:dyDescent="0.35">
      <c r="A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row>
    <row r="434" spans="1:45" x14ac:dyDescent="0.35">
      <c r="A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row>
    <row r="435" spans="1:45" x14ac:dyDescent="0.35">
      <c r="A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row>
    <row r="436" spans="1:45" x14ac:dyDescent="0.35">
      <c r="A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row>
    <row r="437" spans="1:45" x14ac:dyDescent="0.35">
      <c r="A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row>
    <row r="438" spans="1:45" x14ac:dyDescent="0.35">
      <c r="A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row>
    <row r="439" spans="1:45" x14ac:dyDescent="0.35">
      <c r="A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row>
    <row r="440" spans="1:45" x14ac:dyDescent="0.35">
      <c r="A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row>
    <row r="441" spans="1:45" x14ac:dyDescent="0.35">
      <c r="A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row>
    <row r="442" spans="1:45" x14ac:dyDescent="0.35">
      <c r="A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row>
    <row r="443" spans="1:45" x14ac:dyDescent="0.35">
      <c r="A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row>
    <row r="444" spans="1:45" x14ac:dyDescent="0.35">
      <c r="A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row>
    <row r="445" spans="1:45" x14ac:dyDescent="0.35">
      <c r="A445" s="56"/>
    </row>
    <row r="446" spans="1:45" x14ac:dyDescent="0.35">
      <c r="A446" s="56"/>
    </row>
    <row r="447" spans="1:45" x14ac:dyDescent="0.35">
      <c r="A447" s="56"/>
    </row>
    <row r="448" spans="1:45" x14ac:dyDescent="0.35">
      <c r="A448" s="56"/>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M153"/>
  <sheetViews>
    <sheetView tabSelected="1" zoomScale="55" zoomScaleNormal="55" workbookViewId="0">
      <pane ySplit="6" topLeftCell="A7" activePane="bottomLeft" state="frozen"/>
      <selection activeCell="A6" sqref="A6"/>
      <selection pane="bottomLeft" activeCell="C7" sqref="C7:C9"/>
    </sheetView>
  </sheetViews>
  <sheetFormatPr baseColWidth="10" defaultColWidth="11.453125" defaultRowHeight="14" x14ac:dyDescent="0.35"/>
  <cols>
    <col min="1" max="1" width="4" style="1" bestFit="1" customWidth="1"/>
    <col min="2" max="2" width="21.7265625" style="1" customWidth="1"/>
    <col min="3" max="3" width="25.54296875" style="1" customWidth="1"/>
    <col min="4" max="4" width="20.54296875" style="1" customWidth="1"/>
    <col min="5" max="5" width="15.54296875" style="1" customWidth="1"/>
    <col min="6" max="6" width="24.453125" style="1" customWidth="1"/>
    <col min="7" max="7" width="21.81640625" style="1" customWidth="1"/>
    <col min="8" max="8" width="32.453125" style="2" customWidth="1"/>
    <col min="9" max="9" width="19" style="1" customWidth="1"/>
    <col min="10" max="10" width="17.81640625" style="1" customWidth="1"/>
    <col min="11" max="11" width="16.54296875" style="1" customWidth="1"/>
    <col min="12" max="12" width="6.26953125" style="1" customWidth="1"/>
    <col min="13" max="13" width="33" style="1" customWidth="1"/>
    <col min="14" max="14" width="42" style="1" customWidth="1"/>
    <col min="15" max="15" width="15.453125" style="1" customWidth="1"/>
    <col min="16" max="16" width="6.26953125" style="1" customWidth="1"/>
    <col min="17" max="17" width="16" style="1" customWidth="1"/>
    <col min="18" max="18" width="5.81640625" style="1" customWidth="1"/>
    <col min="19" max="19" width="45.1796875" style="2" customWidth="1"/>
    <col min="20" max="20" width="15.1796875" style="1" customWidth="1"/>
    <col min="21" max="21" width="6.81640625" style="1" customWidth="1"/>
    <col min="22" max="22" width="5" style="1" customWidth="1"/>
    <col min="23" max="23" width="5.54296875" style="1" customWidth="1"/>
    <col min="24" max="24" width="7.1796875" style="1" customWidth="1"/>
    <col min="25" max="25" width="6.7265625" style="1" customWidth="1"/>
    <col min="26" max="26" width="7.54296875" style="1" customWidth="1"/>
    <col min="27" max="27" width="10.54296875" style="1" hidden="1" customWidth="1"/>
    <col min="28" max="28" width="8.7265625" style="1" hidden="1" customWidth="1"/>
    <col min="29" max="29" width="8.81640625" style="1" hidden="1" customWidth="1"/>
    <col min="30" max="30" width="9.26953125" style="1" hidden="1" customWidth="1"/>
    <col min="31" max="31" width="9.453125" style="1" hidden="1" customWidth="1"/>
    <col min="32" max="32" width="8.453125" style="1" hidden="1" customWidth="1"/>
    <col min="33" max="33" width="7.26953125" style="1" customWidth="1"/>
    <col min="34" max="34" width="23" style="2" customWidth="1"/>
    <col min="35" max="35" width="18.81640625" style="1" customWidth="1"/>
    <col min="36" max="36" width="12.54296875" style="124" customWidth="1"/>
    <col min="37" max="37" width="16.1796875" style="124" bestFit="1" customWidth="1"/>
    <col min="38" max="38" width="18.54296875" style="125" customWidth="1"/>
    <col min="39" max="39" width="21" style="2" customWidth="1"/>
    <col min="40" max="94" width="11.453125" style="217" customWidth="1"/>
    <col min="95" max="16384" width="11.453125" style="217"/>
  </cols>
  <sheetData>
    <row r="1" spans="1:39" ht="16.5" customHeight="1" x14ac:dyDescent="0.35">
      <c r="A1" s="379" t="s">
        <v>522</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1"/>
    </row>
    <row r="2" spans="1:39" ht="24" customHeight="1" x14ac:dyDescent="0.35">
      <c r="A2" s="382"/>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4"/>
    </row>
    <row r="3" spans="1:39" x14ac:dyDescent="0.3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122"/>
      <c r="AK3" s="122"/>
      <c r="AL3" s="123"/>
      <c r="AM3" s="21"/>
    </row>
    <row r="4" spans="1:39" x14ac:dyDescent="0.35">
      <c r="A4" s="385" t="s">
        <v>125</v>
      </c>
      <c r="B4" s="386"/>
      <c r="C4" s="386"/>
      <c r="D4" s="386"/>
      <c r="E4" s="386"/>
      <c r="F4" s="386"/>
      <c r="G4" s="386"/>
      <c r="H4" s="386"/>
      <c r="I4" s="386"/>
      <c r="J4" s="387"/>
      <c r="K4" s="385" t="s">
        <v>126</v>
      </c>
      <c r="L4" s="386"/>
      <c r="M4" s="386"/>
      <c r="N4" s="386"/>
      <c r="O4" s="386"/>
      <c r="P4" s="386"/>
      <c r="Q4" s="387"/>
      <c r="R4" s="385" t="s">
        <v>127</v>
      </c>
      <c r="S4" s="386"/>
      <c r="T4" s="386"/>
      <c r="U4" s="386"/>
      <c r="V4" s="386"/>
      <c r="W4" s="386"/>
      <c r="X4" s="386"/>
      <c r="Y4" s="386"/>
      <c r="Z4" s="387"/>
      <c r="AA4" s="385" t="s">
        <v>128</v>
      </c>
      <c r="AB4" s="386"/>
      <c r="AC4" s="386"/>
      <c r="AD4" s="386"/>
      <c r="AE4" s="386"/>
      <c r="AF4" s="386"/>
      <c r="AG4" s="387"/>
      <c r="AH4" s="385" t="s">
        <v>34</v>
      </c>
      <c r="AI4" s="386"/>
      <c r="AJ4" s="386"/>
      <c r="AK4" s="386"/>
      <c r="AL4" s="386"/>
      <c r="AM4" s="387"/>
    </row>
    <row r="5" spans="1:39" ht="16.5" customHeight="1" x14ac:dyDescent="0.35">
      <c r="A5" s="388" t="s">
        <v>0</v>
      </c>
      <c r="B5" s="360" t="s">
        <v>188</v>
      </c>
      <c r="C5" s="360" t="s">
        <v>189</v>
      </c>
      <c r="D5" s="360" t="s">
        <v>172</v>
      </c>
      <c r="E5" s="366" t="s">
        <v>2</v>
      </c>
      <c r="F5" s="360" t="s">
        <v>3</v>
      </c>
      <c r="G5" s="360" t="s">
        <v>38</v>
      </c>
      <c r="H5" s="390" t="s">
        <v>1</v>
      </c>
      <c r="I5" s="367" t="s">
        <v>44</v>
      </c>
      <c r="J5" s="360" t="s">
        <v>121</v>
      </c>
      <c r="K5" s="362" t="s">
        <v>33</v>
      </c>
      <c r="L5" s="363" t="s">
        <v>5</v>
      </c>
      <c r="M5" s="367" t="s">
        <v>80</v>
      </c>
      <c r="N5" s="367" t="s">
        <v>85</v>
      </c>
      <c r="O5" s="365" t="s">
        <v>39</v>
      </c>
      <c r="P5" s="363" t="s">
        <v>5</v>
      </c>
      <c r="Q5" s="360" t="s">
        <v>42</v>
      </c>
      <c r="R5" s="358" t="s">
        <v>11</v>
      </c>
      <c r="S5" s="357" t="s">
        <v>137</v>
      </c>
      <c r="T5" s="367" t="s">
        <v>12</v>
      </c>
      <c r="U5" s="357" t="s">
        <v>8</v>
      </c>
      <c r="V5" s="357"/>
      <c r="W5" s="357"/>
      <c r="X5" s="357"/>
      <c r="Y5" s="357"/>
      <c r="Z5" s="357"/>
      <c r="AA5" s="361" t="s">
        <v>124</v>
      </c>
      <c r="AB5" s="361" t="s">
        <v>40</v>
      </c>
      <c r="AC5" s="361" t="s">
        <v>5</v>
      </c>
      <c r="AD5" s="361" t="s">
        <v>41</v>
      </c>
      <c r="AE5" s="361" t="s">
        <v>5</v>
      </c>
      <c r="AF5" s="361" t="s">
        <v>43</v>
      </c>
      <c r="AG5" s="358" t="s">
        <v>29</v>
      </c>
      <c r="AH5" s="357" t="s">
        <v>190</v>
      </c>
      <c r="AI5" s="357" t="s">
        <v>204</v>
      </c>
      <c r="AJ5" s="357" t="s">
        <v>194</v>
      </c>
      <c r="AK5" s="357" t="s">
        <v>195</v>
      </c>
      <c r="AL5" s="357" t="s">
        <v>599</v>
      </c>
      <c r="AM5" s="357" t="s">
        <v>35</v>
      </c>
    </row>
    <row r="6" spans="1:39" s="218" customFormat="1" ht="58.5" customHeight="1" x14ac:dyDescent="0.35">
      <c r="A6" s="389"/>
      <c r="B6" s="357"/>
      <c r="C6" s="357"/>
      <c r="D6" s="357"/>
      <c r="E6" s="366"/>
      <c r="F6" s="357"/>
      <c r="G6" s="357"/>
      <c r="H6" s="366"/>
      <c r="I6" s="360"/>
      <c r="J6" s="357"/>
      <c r="K6" s="360"/>
      <c r="L6" s="364"/>
      <c r="M6" s="360"/>
      <c r="N6" s="360"/>
      <c r="O6" s="364"/>
      <c r="P6" s="364"/>
      <c r="Q6" s="357"/>
      <c r="R6" s="359"/>
      <c r="S6" s="357"/>
      <c r="T6" s="360"/>
      <c r="U6" s="4" t="s">
        <v>13</v>
      </c>
      <c r="V6" s="4" t="s">
        <v>17</v>
      </c>
      <c r="W6" s="4" t="s">
        <v>28</v>
      </c>
      <c r="X6" s="4" t="s">
        <v>18</v>
      </c>
      <c r="Y6" s="4" t="s">
        <v>21</v>
      </c>
      <c r="Z6" s="4" t="s">
        <v>24</v>
      </c>
      <c r="AA6" s="361"/>
      <c r="AB6" s="361"/>
      <c r="AC6" s="361"/>
      <c r="AD6" s="361"/>
      <c r="AE6" s="361"/>
      <c r="AF6" s="361"/>
      <c r="AG6" s="359"/>
      <c r="AH6" s="357"/>
      <c r="AI6" s="357"/>
      <c r="AJ6" s="357"/>
      <c r="AK6" s="357"/>
      <c r="AL6" s="357"/>
      <c r="AM6" s="357"/>
    </row>
    <row r="7" spans="1:39" s="163" customFormat="1" ht="167.25" customHeight="1" x14ac:dyDescent="0.35">
      <c r="A7" s="368">
        <v>1</v>
      </c>
      <c r="B7" s="370" t="s">
        <v>327</v>
      </c>
      <c r="C7" s="373" t="s">
        <v>376</v>
      </c>
      <c r="D7" s="373" t="s">
        <v>191</v>
      </c>
      <c r="E7" s="345" t="s">
        <v>118</v>
      </c>
      <c r="F7" s="345" t="s">
        <v>433</v>
      </c>
      <c r="G7" s="345" t="s">
        <v>434</v>
      </c>
      <c r="H7" s="340" t="s">
        <v>540</v>
      </c>
      <c r="I7" s="345" t="s">
        <v>115</v>
      </c>
      <c r="J7" s="347">
        <v>4</v>
      </c>
      <c r="K7" s="349" t="str">
        <f>IF(J7&lt;=0,"",IF(J7&lt;=2,"Muy Baja",IF(J7&lt;=24,"Baja",IF(J7&lt;=500,"Media",IF(J7&lt;=5000,"Alta","Muy Alta")))))</f>
        <v>Baja</v>
      </c>
      <c r="L7" s="352">
        <f>IF(K7="","",IF(K7="Muy Baja",0.2,IF(K7="Baja",0.4,IF(K7="Media",0.6,IF(K7="Alta",0.8,IF(K7="Muy Alta",1,))))))</f>
        <v>0.4</v>
      </c>
      <c r="M7" s="355" t="s">
        <v>485</v>
      </c>
      <c r="N7" s="129"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49" t="str">
        <f>IF(OR(N7='Tabla Impacto'!$C$11,N7='Tabla Impacto'!$D$11),"Leve",IF(OR(N7='Tabla Impacto'!$C$12,N7='Tabla Impacto'!$D$12),"Menor",IF(OR(N7='Tabla Impacto'!$C$13,N7='Tabla Impacto'!$D$13),"Moderado",IF(OR(N7='Tabla Impacto'!$C$14,N7='Tabla Impacto'!$D$14),"Mayor",IF(OR(N7='Tabla Impacto'!$C$15,N7='Tabla Impacto'!$D$15),"Catastrófico","")))))</f>
        <v>Moderado</v>
      </c>
      <c r="P7" s="352">
        <f>IF(O7="","",IF(O7="Leve",0.2,IF(O7="Menor",0.4,IF(O7="Moderado",0.6,IF(O7="Mayor",0.8,IF(O7="Catastrófico",1,))))))</f>
        <v>0.6</v>
      </c>
      <c r="Q7" s="342"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30">
        <v>1</v>
      </c>
      <c r="S7" s="98" t="s">
        <v>192</v>
      </c>
      <c r="T7" s="131" t="str">
        <f>IF(OR(U7="Preventivo",U7="Detectivo"),"Probabilidad",IF(U7="Correctivo","Impacto",""))</f>
        <v>Probabilidad</v>
      </c>
      <c r="U7" s="132" t="s">
        <v>14</v>
      </c>
      <c r="V7" s="132" t="s">
        <v>9</v>
      </c>
      <c r="W7" s="133" t="str">
        <f>IF(AND(U7="Preventivo",V7="Automático"),"50%",IF(AND(U7="Preventivo",V7="Manual"),"40%",IF(AND(U7="Detectivo",V7="Automático"),"40%",IF(AND(U7="Detectivo",V7="Manual"),"30%",IF(AND(U7="Correctivo",V7="Automático"),"35%",IF(AND(U7="Correctivo",V7="Manual"),"25%",""))))))</f>
        <v>40%</v>
      </c>
      <c r="X7" s="132" t="s">
        <v>19</v>
      </c>
      <c r="Y7" s="132" t="s">
        <v>22</v>
      </c>
      <c r="Z7" s="132" t="s">
        <v>110</v>
      </c>
      <c r="AA7" s="134">
        <f>IFERROR(IF(T7="Probabilidad",($L$7-(+$L$7*W7)),IF(T7="Impacto",$L$7,"")),"")</f>
        <v>0.24</v>
      </c>
      <c r="AB7" s="135" t="str">
        <f>IFERROR(IF(AA7="","",IF(AA7&lt;=0.2,"Muy Baja",IF(AA7&lt;=0.4,"Baja",IF(AA7&lt;=0.6,"Media",IF(AA7&lt;=0.8,"Alta","Muy Alta"))))),"")</f>
        <v>Baja</v>
      </c>
      <c r="AC7" s="136">
        <f>+AA7</f>
        <v>0.24</v>
      </c>
      <c r="AD7" s="135" t="str">
        <f>IFERROR(IF(AE7="","",IF(AE7&lt;=0.2,"Leve",IF(AE7&lt;=0.4,"Menor",IF(AE7&lt;=0.6,"Moderado",IF(AE7&lt;=0.8,"Mayor","Catastrófico"))))),"")</f>
        <v>Moderado</v>
      </c>
      <c r="AE7" s="136">
        <f>IFERROR(IF(T7="Impacto",($P$7-(+$P$7*W7)),IF(T7="Probabilidad",$P$7,"")),"")</f>
        <v>0.6</v>
      </c>
      <c r="AF7" s="137"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38" t="s">
        <v>122</v>
      </c>
      <c r="AH7" s="139" t="s">
        <v>539</v>
      </c>
      <c r="AI7" s="140" t="s">
        <v>203</v>
      </c>
      <c r="AJ7" s="141" t="s">
        <v>196</v>
      </c>
      <c r="AK7" s="141" t="s">
        <v>196</v>
      </c>
      <c r="AL7" s="98" t="s">
        <v>193</v>
      </c>
      <c r="AM7" s="140"/>
    </row>
    <row r="8" spans="1:39" s="163" customFormat="1" ht="167.25" customHeight="1" x14ac:dyDescent="0.35">
      <c r="A8" s="369"/>
      <c r="B8" s="371"/>
      <c r="C8" s="374"/>
      <c r="D8" s="375"/>
      <c r="E8" s="346"/>
      <c r="F8" s="346"/>
      <c r="G8" s="346"/>
      <c r="H8" s="341"/>
      <c r="I8" s="346"/>
      <c r="J8" s="348"/>
      <c r="K8" s="350"/>
      <c r="L8" s="353"/>
      <c r="M8" s="356"/>
      <c r="N8" s="142"/>
      <c r="O8" s="350"/>
      <c r="P8" s="353"/>
      <c r="Q8" s="343"/>
      <c r="R8" s="130">
        <v>2</v>
      </c>
      <c r="S8" s="98"/>
      <c r="T8" s="131" t="str">
        <f t="shared" ref="T8:T9" si="0">IF(OR(U8="Preventivo",U8="Detectivo"),"Probabilidad",IF(U8="Correctivo","Impacto",""))</f>
        <v/>
      </c>
      <c r="U8" s="132"/>
      <c r="V8" s="132"/>
      <c r="W8" s="133" t="str">
        <f t="shared" ref="W8" si="1">IF(AND(U8="Preventivo",V8="Automático"),"50%",IF(AND(U8="Preventivo",V8="Manual"),"40%",IF(AND(U8="Detectivo",V8="Automático"),"40%",IF(AND(U8="Detectivo",V8="Manual"),"30%",IF(AND(U8="Correctivo",V8="Automático"),"35%",IF(AND(U8="Correctivo",V8="Manual"),"25%",""))))))</f>
        <v/>
      </c>
      <c r="X8" s="132"/>
      <c r="Y8" s="132"/>
      <c r="Z8" s="132"/>
      <c r="AA8" s="134" t="str">
        <f>IFERROR(IF(T8="Probabilidad",(AA7-(+AA7*W8)),IF(T8="Impacto",$L$7,"")),"")</f>
        <v/>
      </c>
      <c r="AB8" s="135" t="str">
        <f t="shared" ref="AB8:AB9" si="2">IFERROR(IF(AA8="","",IF(AA8&lt;=0.2,"Muy Baja",IF(AA8&lt;=0.4,"Baja",IF(AA8&lt;=0.6,"Media",IF(AA8&lt;=0.8,"Alta","Muy Alta"))))),"")</f>
        <v/>
      </c>
      <c r="AC8" s="136" t="str">
        <f t="shared" ref="AC8:AC9" si="3">+AA8</f>
        <v/>
      </c>
      <c r="AD8" s="135" t="str">
        <f t="shared" ref="AD8:AD9" si="4">IFERROR(IF(AE8="","",IF(AE8&lt;=0.2,"Leve",IF(AE8&lt;=0.4,"Menor",IF(AE8&lt;=0.6,"Moderado",IF(AE8&lt;=0.8,"Mayor","Catastrófico"))))),"")</f>
        <v/>
      </c>
      <c r="AE8" s="136" t="str">
        <f t="shared" ref="AE8:AE9" si="5">IFERROR(IF(T8="Impacto",($P$7-(+$P$7*W8)),IF(T8="Probabilidad",$P$7,"")),"")</f>
        <v/>
      </c>
      <c r="AF8" s="137"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38"/>
      <c r="AH8" s="98"/>
      <c r="AI8" s="140"/>
      <c r="AJ8" s="141"/>
      <c r="AK8" s="141"/>
      <c r="AL8" s="98"/>
      <c r="AM8" s="140"/>
    </row>
    <row r="9" spans="1:39" s="163" customFormat="1" ht="167.25" customHeight="1" x14ac:dyDescent="0.35">
      <c r="A9" s="369"/>
      <c r="B9" s="372"/>
      <c r="C9" s="374"/>
      <c r="D9" s="375"/>
      <c r="E9" s="346"/>
      <c r="F9" s="346"/>
      <c r="G9" s="346"/>
      <c r="H9" s="341"/>
      <c r="I9" s="346"/>
      <c r="J9" s="348"/>
      <c r="K9" s="351"/>
      <c r="L9" s="354"/>
      <c r="M9" s="356"/>
      <c r="N9" s="142"/>
      <c r="O9" s="351"/>
      <c r="P9" s="354"/>
      <c r="Q9" s="344"/>
      <c r="R9" s="130">
        <v>3</v>
      </c>
      <c r="S9" s="98"/>
      <c r="T9" s="131" t="str">
        <f t="shared" si="0"/>
        <v/>
      </c>
      <c r="U9" s="132"/>
      <c r="V9" s="132"/>
      <c r="W9" s="133"/>
      <c r="X9" s="132"/>
      <c r="Y9" s="132"/>
      <c r="Z9" s="132"/>
      <c r="AA9" s="134" t="str">
        <f>IFERROR(IF(T9="Probabilidad",(AA8-(+AA8*W9)),IF(T9="Impacto",$L$7,"")),"")</f>
        <v/>
      </c>
      <c r="AB9" s="135" t="str">
        <f t="shared" si="2"/>
        <v/>
      </c>
      <c r="AC9" s="136" t="str">
        <f t="shared" si="3"/>
        <v/>
      </c>
      <c r="AD9" s="135" t="str">
        <f t="shared" si="4"/>
        <v/>
      </c>
      <c r="AE9" s="136" t="str">
        <f t="shared" si="5"/>
        <v/>
      </c>
      <c r="AF9" s="137" t="str">
        <f t="shared" si="6"/>
        <v/>
      </c>
      <c r="AG9" s="138"/>
      <c r="AH9" s="98"/>
      <c r="AI9" s="140"/>
      <c r="AJ9" s="141"/>
      <c r="AK9" s="141"/>
      <c r="AL9" s="98"/>
      <c r="AM9" s="140"/>
    </row>
    <row r="10" spans="1:39" s="163" customFormat="1" ht="151.5" customHeight="1" x14ac:dyDescent="0.35">
      <c r="A10" s="369">
        <v>2</v>
      </c>
      <c r="B10" s="370" t="s">
        <v>327</v>
      </c>
      <c r="C10" s="373" t="s">
        <v>376</v>
      </c>
      <c r="D10" s="373" t="s">
        <v>191</v>
      </c>
      <c r="E10" s="345" t="s">
        <v>120</v>
      </c>
      <c r="F10" s="398" t="s">
        <v>435</v>
      </c>
      <c r="G10" s="394" t="s">
        <v>436</v>
      </c>
      <c r="H10" s="396" t="s">
        <v>377</v>
      </c>
      <c r="I10" s="345" t="s">
        <v>328</v>
      </c>
      <c r="J10" s="347">
        <v>160</v>
      </c>
      <c r="K10" s="349" t="str">
        <f>IF(J10&lt;=0,"",IF(J10&lt;=2,"Muy Baja",IF(J10&lt;=24,"Baja",IF(J10&lt;=500,"Media",IF(J10&lt;=5000,"Alta","Muy Alta")))))</f>
        <v>Media</v>
      </c>
      <c r="L10" s="352">
        <f>IF(K10="","",IF(K10="Muy Baja",0.2,IF(K10="Baja",0.4,IF(K10="Media",0.6,IF(K10="Alta",0.8,IF(K10="Muy Alta",1,))))))</f>
        <v>0.6</v>
      </c>
      <c r="M10" s="355" t="s">
        <v>485</v>
      </c>
      <c r="N10" s="129"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49" t="str">
        <f>IF(OR(N10='Tabla Impacto'!$C$11,N10='Tabla Impacto'!$D$11),"Leve",IF(OR(N10='Tabla Impacto'!$C$12,N10='Tabla Impacto'!$D$12),"Menor",IF(OR(N10='Tabla Impacto'!$C$13,N10='Tabla Impacto'!$D$13),"Moderado",IF(OR(N10='Tabla Impacto'!$C$14,N10='Tabla Impacto'!$D$14),"Mayor",IF(OR(N10='Tabla Impacto'!$C$15,N10='Tabla Impacto'!$D$15),"Catastrófico","")))))</f>
        <v>Moderado</v>
      </c>
      <c r="P10" s="352">
        <f>IF(O10="","",IF(O10="Leve",0.2,IF(O10="Menor",0.4,IF(O10="Moderado",0.6,IF(O10="Mayor",0.8,IF(O10="Catastrófico",1,))))))</f>
        <v>0.6</v>
      </c>
      <c r="Q10" s="342"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30">
        <v>1</v>
      </c>
      <c r="S10" s="98" t="s">
        <v>197</v>
      </c>
      <c r="T10" s="131" t="str">
        <f t="shared" ref="T10:T13" si="7">IF(OR(U10="Preventivo",U10="Detectivo"),"Probabilidad",IF(U10="Correctivo","Impacto",""))</f>
        <v>Probabilidad</v>
      </c>
      <c r="U10" s="132" t="s">
        <v>14</v>
      </c>
      <c r="V10" s="132" t="s">
        <v>9</v>
      </c>
      <c r="W10" s="133" t="str">
        <f t="shared" ref="W10:W13" si="8">IF(AND(U10="Preventivo",V10="Automático"),"50%",IF(AND(U10="Preventivo",V10="Manual"),"40%",IF(AND(U10="Detectivo",V10="Automático"),"40%",IF(AND(U10="Detectivo",V10="Manual"),"30%",IF(AND(U10="Correctivo",V10="Automático"),"35%",IF(AND(U10="Correctivo",V10="Manual"),"25%",""))))))</f>
        <v>40%</v>
      </c>
      <c r="X10" s="132" t="s">
        <v>19</v>
      </c>
      <c r="Y10" s="132" t="s">
        <v>22</v>
      </c>
      <c r="Z10" s="132" t="s">
        <v>110</v>
      </c>
      <c r="AA10" s="134">
        <f t="shared" ref="AA10:AA13" si="9">IFERROR(IF(T10="Probabilidad",(L10-(+L10*W10)),IF(T10="Impacto",L10,"")),"")</f>
        <v>0.36</v>
      </c>
      <c r="AB10" s="135" t="str">
        <f t="shared" ref="AB10:AB13" si="10">IFERROR(IF(AA10="","",IF(AA10&lt;=0.2,"Muy Baja",IF(AA10&lt;=0.4,"Baja",IF(AA10&lt;=0.6,"Media",IF(AA10&lt;=0.8,"Alta","Muy Alta"))))),"")</f>
        <v>Baja</v>
      </c>
      <c r="AC10" s="136">
        <f t="shared" ref="AC10:AC13" si="11">+AA10</f>
        <v>0.36</v>
      </c>
      <c r="AD10" s="135" t="str">
        <f t="shared" ref="AD10:AD13" si="12">IFERROR(IF(AE10="","",IF(AE10&lt;=0.2,"Leve",IF(AE10&lt;=0.4,"Menor",IF(AE10&lt;=0.6,"Moderado",IF(AE10&lt;=0.8,"Mayor","Catastrófico"))))),"")</f>
        <v>Moderado</v>
      </c>
      <c r="AE10" s="136">
        <f t="shared" ref="AE10:AE13" si="13">IFERROR(IF(T10="Impacto",(P10-(+P10*W10)),IF(T10="Probabilidad",P10,"")),"")</f>
        <v>0.6</v>
      </c>
      <c r="AF10" s="137" t="str">
        <f t="shared" ref="AF10:AF13"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38" t="s">
        <v>122</v>
      </c>
      <c r="AH10" s="119" t="s">
        <v>378</v>
      </c>
      <c r="AI10" s="127" t="s">
        <v>198</v>
      </c>
      <c r="AJ10" s="143" t="s">
        <v>199</v>
      </c>
      <c r="AK10" s="143" t="s">
        <v>199</v>
      </c>
      <c r="AL10" s="119" t="s">
        <v>379</v>
      </c>
      <c r="AM10" s="140"/>
    </row>
    <row r="11" spans="1:39" s="163" customFormat="1" ht="151.5" customHeight="1" x14ac:dyDescent="0.35">
      <c r="A11" s="369"/>
      <c r="B11" s="371"/>
      <c r="C11" s="374"/>
      <c r="D11" s="375"/>
      <c r="E11" s="346"/>
      <c r="F11" s="346"/>
      <c r="G11" s="395"/>
      <c r="H11" s="397"/>
      <c r="I11" s="346"/>
      <c r="J11" s="348"/>
      <c r="K11" s="350"/>
      <c r="L11" s="353"/>
      <c r="M11" s="356"/>
      <c r="N11" s="142"/>
      <c r="O11" s="350"/>
      <c r="P11" s="353"/>
      <c r="Q11" s="343"/>
      <c r="R11" s="130">
        <v>2</v>
      </c>
      <c r="S11" s="98"/>
      <c r="T11" s="131" t="str">
        <f t="shared" ref="T11:T12" si="15">IF(OR(U11="Preventivo",U11="Detectivo"),"Probabilidad",IF(U11="Correctivo","Impacto",""))</f>
        <v/>
      </c>
      <c r="U11" s="132"/>
      <c r="V11" s="132"/>
      <c r="W11" s="133"/>
      <c r="X11" s="132"/>
      <c r="Y11" s="132"/>
      <c r="Z11" s="132"/>
      <c r="AA11" s="134" t="str">
        <f>IFERROR(IF(T11="Probabilidad",(AA10-(+AA10*W11)),IF(T11="Impacto",L10,"")),"")</f>
        <v/>
      </c>
      <c r="AB11" s="135" t="str">
        <f t="shared" ref="AB11:AB12" si="16">IFERROR(IF(AA11="","",IF(AA11&lt;=0.2,"Muy Baja",IF(AA11&lt;=0.4,"Baja",IF(AA11&lt;=0.6,"Media",IF(AA11&lt;=0.8,"Alta","Muy Alta"))))),"")</f>
        <v/>
      </c>
      <c r="AC11" s="136" t="str">
        <f t="shared" ref="AC11:AC12" si="17">+AA11</f>
        <v/>
      </c>
      <c r="AD11" s="135" t="str">
        <f t="shared" ref="AD11:AD12" si="18">IFERROR(IF(AE11="","",IF(AE11&lt;=0.2,"Leve",IF(AE11&lt;=0.4,"Menor",IF(AE11&lt;=0.6,"Moderado",IF(AE11&lt;=0.8,"Mayor","Catastrófico"))))),"")</f>
        <v/>
      </c>
      <c r="AE11" s="136" t="str">
        <f>IFERROR(IF(T11="Impacto",(P10-(+P10*W11)),IF(T11="Probabilidad",P10,"")),"")</f>
        <v/>
      </c>
      <c r="AF11" s="137"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38"/>
      <c r="AH11" s="119"/>
      <c r="AI11" s="127"/>
      <c r="AJ11" s="143"/>
      <c r="AK11" s="143"/>
      <c r="AL11" s="119"/>
      <c r="AM11" s="140"/>
    </row>
    <row r="12" spans="1:39" s="163" customFormat="1" ht="151.5" customHeight="1" x14ac:dyDescent="0.35">
      <c r="A12" s="369"/>
      <c r="B12" s="372"/>
      <c r="C12" s="374"/>
      <c r="D12" s="375"/>
      <c r="E12" s="346"/>
      <c r="F12" s="346"/>
      <c r="G12" s="395"/>
      <c r="H12" s="397"/>
      <c r="I12" s="346"/>
      <c r="J12" s="348"/>
      <c r="K12" s="351"/>
      <c r="L12" s="354"/>
      <c r="M12" s="356"/>
      <c r="N12" s="142"/>
      <c r="O12" s="351"/>
      <c r="P12" s="354"/>
      <c r="Q12" s="344"/>
      <c r="R12" s="130">
        <v>3</v>
      </c>
      <c r="S12" s="98"/>
      <c r="T12" s="131" t="str">
        <f t="shared" si="15"/>
        <v/>
      </c>
      <c r="U12" s="132"/>
      <c r="V12" s="132"/>
      <c r="W12" s="133"/>
      <c r="X12" s="132"/>
      <c r="Y12" s="132"/>
      <c r="Z12" s="132"/>
      <c r="AA12" s="134" t="str">
        <f>IFERROR(IF(T12="Probabilidad",(AA11-(+AA11*W12)),IF(T12="Impacto",L10,"")),"")</f>
        <v/>
      </c>
      <c r="AB12" s="135" t="str">
        <f t="shared" si="16"/>
        <v/>
      </c>
      <c r="AC12" s="136" t="str">
        <f t="shared" si="17"/>
        <v/>
      </c>
      <c r="AD12" s="135" t="str">
        <f t="shared" si="18"/>
        <v/>
      </c>
      <c r="AE12" s="136" t="str">
        <f>IFERROR(IF(T12="Impacto",(P10-(+P10*W12)),IF(T12="Probabilidad",P10,"")),"")</f>
        <v/>
      </c>
      <c r="AF12" s="137" t="str">
        <f t="shared" si="19"/>
        <v/>
      </c>
      <c r="AG12" s="138"/>
      <c r="AH12" s="119"/>
      <c r="AI12" s="127"/>
      <c r="AJ12" s="143"/>
      <c r="AK12" s="143"/>
      <c r="AL12" s="119"/>
      <c r="AM12" s="140"/>
    </row>
    <row r="13" spans="1:39" s="219" customFormat="1" ht="151.5" customHeight="1" x14ac:dyDescent="0.35">
      <c r="A13" s="369">
        <v>3</v>
      </c>
      <c r="B13" s="370" t="s">
        <v>200</v>
      </c>
      <c r="C13" s="373" t="s">
        <v>354</v>
      </c>
      <c r="D13" s="373" t="s">
        <v>374</v>
      </c>
      <c r="E13" s="345" t="s">
        <v>118</v>
      </c>
      <c r="F13" s="345" t="s">
        <v>437</v>
      </c>
      <c r="G13" s="345" t="s">
        <v>201</v>
      </c>
      <c r="H13" s="340" t="s">
        <v>380</v>
      </c>
      <c r="I13" s="345" t="s">
        <v>328</v>
      </c>
      <c r="J13" s="347">
        <v>5000</v>
      </c>
      <c r="K13" s="349" t="str">
        <f>IF(J13&lt;=0,"",IF(J13&lt;=2,"Muy Baja",IF(J13&lt;=24,"Baja",IF(J13&lt;=500,"Media",IF(J13&lt;=5000,"Alta","Muy Alta")))))</f>
        <v>Alta</v>
      </c>
      <c r="L13" s="352">
        <f>IF(K13="","",IF(K13="Muy Baja",0.2,IF(K13="Baja",0.4,IF(K13="Media",0.6,IF(K13="Alta",0.8,IF(K13="Muy Alta",1,))))))</f>
        <v>0.8</v>
      </c>
      <c r="M13" s="355" t="s">
        <v>485</v>
      </c>
      <c r="N13" s="129"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49" t="str">
        <f>IF(OR(N13='Tabla Impacto'!$C$11,N13='Tabla Impacto'!$D$11),"Leve",IF(OR(N13='Tabla Impacto'!$C$12,N13='Tabla Impacto'!$D$12),"Menor",IF(OR(N13='Tabla Impacto'!$C$13,N13='Tabla Impacto'!$D$13),"Moderado",IF(OR(N13='Tabla Impacto'!$C$14,N13='Tabla Impacto'!$D$14),"Mayor",IF(OR(N13='Tabla Impacto'!$C$15,N13='Tabla Impacto'!$D$15),"Catastrófico","")))))</f>
        <v>Moderado</v>
      </c>
      <c r="P13" s="352">
        <f>IF(O13="","",IF(O13="Leve",0.2,IF(O13="Menor",0.4,IF(O13="Moderado",0.6,IF(O13="Mayor",0.8,IF(O13="Catastrófico",1,))))))</f>
        <v>0.6</v>
      </c>
      <c r="Q13" s="342"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30">
        <v>1</v>
      </c>
      <c r="S13" s="98" t="s">
        <v>202</v>
      </c>
      <c r="T13" s="131" t="str">
        <f t="shared" si="7"/>
        <v>Probabilidad</v>
      </c>
      <c r="U13" s="132" t="s">
        <v>14</v>
      </c>
      <c r="V13" s="132" t="s">
        <v>9</v>
      </c>
      <c r="W13" s="133" t="str">
        <f t="shared" si="8"/>
        <v>40%</v>
      </c>
      <c r="X13" s="132" t="s">
        <v>19</v>
      </c>
      <c r="Y13" s="132" t="s">
        <v>22</v>
      </c>
      <c r="Z13" s="132" t="s">
        <v>110</v>
      </c>
      <c r="AA13" s="134">
        <f t="shared" si="9"/>
        <v>0.48</v>
      </c>
      <c r="AB13" s="135" t="str">
        <f t="shared" si="10"/>
        <v>Media</v>
      </c>
      <c r="AC13" s="136">
        <f t="shared" si="11"/>
        <v>0.48</v>
      </c>
      <c r="AD13" s="135" t="str">
        <f t="shared" si="12"/>
        <v>Moderado</v>
      </c>
      <c r="AE13" s="136">
        <f t="shared" si="13"/>
        <v>0.6</v>
      </c>
      <c r="AF13" s="137" t="str">
        <f t="shared" si="14"/>
        <v>Moderado</v>
      </c>
      <c r="AG13" s="138" t="s">
        <v>122</v>
      </c>
      <c r="AH13" s="126" t="s">
        <v>381</v>
      </c>
      <c r="AI13" s="144" t="s">
        <v>203</v>
      </c>
      <c r="AJ13" s="143" t="s">
        <v>199</v>
      </c>
      <c r="AK13" s="143" t="s">
        <v>199</v>
      </c>
      <c r="AL13" s="119" t="s">
        <v>382</v>
      </c>
      <c r="AM13" s="140"/>
    </row>
    <row r="14" spans="1:39" s="219" customFormat="1" ht="151.5" customHeight="1" x14ac:dyDescent="0.35">
      <c r="A14" s="369"/>
      <c r="B14" s="371"/>
      <c r="C14" s="374"/>
      <c r="D14" s="374"/>
      <c r="E14" s="346"/>
      <c r="F14" s="346"/>
      <c r="G14" s="346"/>
      <c r="H14" s="341"/>
      <c r="I14" s="346"/>
      <c r="J14" s="348"/>
      <c r="K14" s="350"/>
      <c r="L14" s="353"/>
      <c r="M14" s="356"/>
      <c r="N14" s="142"/>
      <c r="O14" s="350"/>
      <c r="P14" s="353"/>
      <c r="Q14" s="343"/>
      <c r="R14" s="130">
        <v>2</v>
      </c>
      <c r="S14" s="145"/>
      <c r="T14" s="131" t="str">
        <f t="shared" ref="T14:T15" si="20">IF(OR(U14="Preventivo",U14="Detectivo"),"Probabilidad",IF(U14="Correctivo","Impacto",""))</f>
        <v/>
      </c>
      <c r="U14" s="132"/>
      <c r="V14" s="132"/>
      <c r="W14" s="133"/>
      <c r="X14" s="132"/>
      <c r="Y14" s="132"/>
      <c r="Z14" s="132"/>
      <c r="AA14" s="134" t="str">
        <f>IFERROR(IF(T14="Probabilidad",(AA13-(+AA13*W14)),IF(T14="Impacto",L13,"")),"")</f>
        <v/>
      </c>
      <c r="AB14" s="135" t="str">
        <f t="shared" ref="AB14:AB15" si="21">IFERROR(IF(AA14="","",IF(AA14&lt;=0.2,"Muy Baja",IF(AA14&lt;=0.4,"Baja",IF(AA14&lt;=0.6,"Media",IF(AA14&lt;=0.8,"Alta","Muy Alta"))))),"")</f>
        <v/>
      </c>
      <c r="AC14" s="136" t="str">
        <f t="shared" ref="AC14:AC15" si="22">+AA14</f>
        <v/>
      </c>
      <c r="AD14" s="135" t="str">
        <f t="shared" ref="AD14:AD15" si="23">IFERROR(IF(AE14="","",IF(AE14&lt;=0.2,"Leve",IF(AE14&lt;=0.4,"Menor",IF(AE14&lt;=0.6,"Moderado",IF(AE14&lt;=0.8,"Mayor","Catastrófico"))))),"")</f>
        <v/>
      </c>
      <c r="AE14" s="136" t="str">
        <f>IFERROR(IF(T14="Impacto",(P13-(+P13*W14)),IF(T14="Probabilidad",P13,"")),"")</f>
        <v/>
      </c>
      <c r="AF14" s="137"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8"/>
      <c r="AH14" s="119"/>
      <c r="AI14" s="127"/>
      <c r="AJ14" s="143"/>
      <c r="AK14" s="143"/>
      <c r="AL14" s="119"/>
      <c r="AM14" s="140"/>
    </row>
    <row r="15" spans="1:39" s="219" customFormat="1" ht="151.5" customHeight="1" x14ac:dyDescent="0.35">
      <c r="A15" s="369"/>
      <c r="B15" s="372"/>
      <c r="C15" s="374"/>
      <c r="D15" s="374"/>
      <c r="E15" s="346"/>
      <c r="F15" s="391"/>
      <c r="G15" s="391"/>
      <c r="H15" s="392"/>
      <c r="I15" s="346"/>
      <c r="J15" s="348"/>
      <c r="K15" s="351"/>
      <c r="L15" s="354"/>
      <c r="M15" s="356"/>
      <c r="N15" s="142"/>
      <c r="O15" s="351"/>
      <c r="P15" s="354"/>
      <c r="Q15" s="344"/>
      <c r="R15" s="130">
        <v>3</v>
      </c>
      <c r="S15" s="145"/>
      <c r="T15" s="131" t="str">
        <f t="shared" si="20"/>
        <v/>
      </c>
      <c r="U15" s="132"/>
      <c r="V15" s="132"/>
      <c r="W15" s="133"/>
      <c r="X15" s="132"/>
      <c r="Y15" s="132"/>
      <c r="Z15" s="132"/>
      <c r="AA15" s="134" t="str">
        <f>IFERROR(IF(T15="Probabilidad",(AA14-(+AA14*W15)),IF(T15="Impacto",L13,"")),"")</f>
        <v/>
      </c>
      <c r="AB15" s="135" t="str">
        <f t="shared" si="21"/>
        <v/>
      </c>
      <c r="AC15" s="136" t="str">
        <f t="shared" si="22"/>
        <v/>
      </c>
      <c r="AD15" s="135" t="str">
        <f t="shared" si="23"/>
        <v/>
      </c>
      <c r="AE15" s="136" t="str">
        <f>IFERROR(IF(T15="Impacto",(P13-(+P13*W15)),IF(T15="Probabilidad",P13,"")),"")</f>
        <v/>
      </c>
      <c r="AF15" s="137" t="str">
        <f t="shared" si="24"/>
        <v/>
      </c>
      <c r="AG15" s="138"/>
      <c r="AH15" s="119"/>
      <c r="AI15" s="127"/>
      <c r="AJ15" s="143"/>
      <c r="AK15" s="143"/>
      <c r="AL15" s="119"/>
      <c r="AM15" s="140"/>
    </row>
    <row r="16" spans="1:39" s="231" customFormat="1" ht="151.5" customHeight="1" x14ac:dyDescent="0.35">
      <c r="A16" s="369">
        <v>5</v>
      </c>
      <c r="B16" s="370" t="s">
        <v>206</v>
      </c>
      <c r="C16" s="373" t="s">
        <v>207</v>
      </c>
      <c r="D16" s="373" t="s">
        <v>375</v>
      </c>
      <c r="E16" s="345" t="s">
        <v>118</v>
      </c>
      <c r="F16" s="345" t="s">
        <v>208</v>
      </c>
      <c r="G16" s="345" t="s">
        <v>209</v>
      </c>
      <c r="H16" s="340" t="s">
        <v>545</v>
      </c>
      <c r="I16" s="345" t="s">
        <v>115</v>
      </c>
      <c r="J16" s="347">
        <v>1</v>
      </c>
      <c r="K16" s="349" t="str">
        <f>IF(J16&lt;=0,"",IF(J16&lt;=2,"Muy Baja",IF(J16&lt;=24,"Baja",IF(J16&lt;=500,"Media",IF(J16&lt;=5000,"Alta","Muy Alta")))))</f>
        <v>Muy Baja</v>
      </c>
      <c r="L16" s="352">
        <f>IF(K16="","",IF(K16="Muy Baja",0.2,IF(K16="Baja",0.4,IF(K16="Media",0.6,IF(K16="Alta",0.8,IF(K16="Muy Alta",1,))))))</f>
        <v>0.2</v>
      </c>
      <c r="M16" s="355" t="s">
        <v>485</v>
      </c>
      <c r="N16" s="215"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49" t="str">
        <f>IF(OR(N16='Tabla Impacto'!$C$11,N16='Tabla Impacto'!$D$11),"Leve",IF(OR(N16='Tabla Impacto'!$C$12,N16='Tabla Impacto'!$D$12),"Menor",IF(OR(N16='Tabla Impacto'!$C$13,N16='Tabla Impacto'!$D$13),"Moderado",IF(OR(N16='Tabla Impacto'!$C$14,N16='Tabla Impacto'!$D$14),"Mayor",IF(OR(N16='Tabla Impacto'!$C$15,N16='Tabla Impacto'!$D$15),"Catastrófico","")))))</f>
        <v>Moderado</v>
      </c>
      <c r="P16" s="352">
        <f>IF(O16="","",IF(O16="Leve",0.2,IF(O16="Menor",0.4,IF(O16="Moderado",0.6,IF(O16="Mayor",0.8,IF(O16="Catastrófico",1,))))))</f>
        <v>0.6</v>
      </c>
      <c r="Q16" s="342"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207">
        <v>1</v>
      </c>
      <c r="S16" s="139" t="s">
        <v>210</v>
      </c>
      <c r="T16" s="208" t="str">
        <f t="shared" ref="T16:T103" si="25">IF(OR(U16="Preventivo",U16="Detectivo"),"Probabilidad",IF(U16="Correctivo","Impacto",""))</f>
        <v>Probabilidad</v>
      </c>
      <c r="U16" s="209" t="s">
        <v>14</v>
      </c>
      <c r="V16" s="209" t="s">
        <v>9</v>
      </c>
      <c r="W16" s="210" t="str">
        <f t="shared" ref="W16:W103" si="26">IF(AND(U16="Preventivo",V16="Automático"),"50%",IF(AND(U16="Preventivo",V16="Manual"),"40%",IF(AND(U16="Detectivo",V16="Automático"),"40%",IF(AND(U16="Detectivo",V16="Manual"),"30%",IF(AND(U16="Correctivo",V16="Automático"),"35%",IF(AND(U16="Correctivo",V16="Manual"),"25%",""))))))</f>
        <v>40%</v>
      </c>
      <c r="X16" s="209" t="s">
        <v>19</v>
      </c>
      <c r="Y16" s="209" t="s">
        <v>22</v>
      </c>
      <c r="Z16" s="209" t="s">
        <v>110</v>
      </c>
      <c r="AA16" s="160">
        <f t="shared" ref="AA16:AA103" si="27">IFERROR(IF(T16="Probabilidad",(L16-(+L16*W16)),IF(T16="Impacto",L16,"")),"")</f>
        <v>0.12</v>
      </c>
      <c r="AB16" s="211" t="str">
        <f t="shared" ref="AB16:AB103" si="28">IFERROR(IF(AA16="","",IF(AA16&lt;=0.2,"Muy Baja",IF(AA16&lt;=0.4,"Baja",IF(AA16&lt;=0.6,"Media",IF(AA16&lt;=0.8,"Alta","Muy Alta"))))),"")</f>
        <v>Muy Baja</v>
      </c>
      <c r="AC16" s="212">
        <f t="shared" ref="AC16:AC103" si="29">+AA16</f>
        <v>0.12</v>
      </c>
      <c r="AD16" s="211" t="str">
        <f t="shared" ref="AD16:AD103" si="30">IFERROR(IF(AE16="","",IF(AE16&lt;=0.2,"Leve",IF(AE16&lt;=0.4,"Menor",IF(AE16&lt;=0.6,"Moderado",IF(AE16&lt;=0.8,"Mayor","Catastrófico"))))),"")</f>
        <v>Moderado</v>
      </c>
      <c r="AE16" s="212">
        <f t="shared" ref="AE16:AE103" si="31">IFERROR(IF(T16="Impacto",(P16-(+P16*W16)),IF(T16="Probabilidad",P16,"")),"")</f>
        <v>0.6</v>
      </c>
      <c r="AF16" s="213" t="str">
        <f t="shared" ref="AF16:AF103"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214" t="s">
        <v>122</v>
      </c>
      <c r="AH16" s="126" t="s">
        <v>211</v>
      </c>
      <c r="AI16" s="121" t="s">
        <v>212</v>
      </c>
      <c r="AJ16" s="128">
        <v>44562</v>
      </c>
      <c r="AK16" s="128" t="s">
        <v>373</v>
      </c>
      <c r="AL16" s="126" t="s">
        <v>213</v>
      </c>
      <c r="AM16" s="230"/>
    </row>
    <row r="17" spans="1:39" s="231" customFormat="1" ht="151.5" customHeight="1" x14ac:dyDescent="0.35">
      <c r="A17" s="369"/>
      <c r="B17" s="371"/>
      <c r="C17" s="375"/>
      <c r="D17" s="374"/>
      <c r="E17" s="346"/>
      <c r="F17" s="346"/>
      <c r="G17" s="346"/>
      <c r="H17" s="341"/>
      <c r="I17" s="346"/>
      <c r="J17" s="348"/>
      <c r="K17" s="350"/>
      <c r="L17" s="353"/>
      <c r="M17" s="356"/>
      <c r="N17" s="216"/>
      <c r="O17" s="350"/>
      <c r="P17" s="353"/>
      <c r="Q17" s="343"/>
      <c r="R17" s="207">
        <v>2</v>
      </c>
      <c r="S17" s="139"/>
      <c r="T17" s="208" t="str">
        <f t="shared" ref="T17:T18" si="33">IF(OR(U17="Preventivo",U17="Detectivo"),"Probabilidad",IF(U17="Correctivo","Impacto",""))</f>
        <v/>
      </c>
      <c r="U17" s="232"/>
      <c r="V17" s="232"/>
      <c r="W17" s="233"/>
      <c r="X17" s="232"/>
      <c r="Y17" s="232"/>
      <c r="Z17" s="232"/>
      <c r="AA17" s="161" t="str">
        <f>IFERROR(IF(T17="Probabilidad",(AA16-(+AA16*W17)),IF(T17="Impacto",L17,"")),"")</f>
        <v/>
      </c>
      <c r="AB17" s="211" t="str">
        <f t="shared" ref="AB17:AB18" si="34">IFERROR(IF(AA17="","",IF(AA17&lt;=0.2,"Muy Baja",IF(AA17&lt;=0.4,"Baja",IF(AA17&lt;=0.6,"Media",IF(AA17&lt;=0.8,"Alta","Muy Alta"))))),"")</f>
        <v/>
      </c>
      <c r="AC17" s="234" t="str">
        <f t="shared" ref="AC17:AC18" si="35">+AA17</f>
        <v/>
      </c>
      <c r="AD17" s="211" t="str">
        <f t="shared" ref="AD17:AD18" si="36">IFERROR(IF(AE17="","",IF(AE17&lt;=0.2,"Leve",IF(AE17&lt;=0.4,"Menor",IF(AE17&lt;=0.6,"Moderado",IF(AE17&lt;=0.8,"Mayor","Catastrófico"))))),"")</f>
        <v/>
      </c>
      <c r="AE17" s="234" t="str">
        <f t="shared" ref="AE17:AE18" si="37">IFERROR(IF(T17="Impacto",(P17-(+P17*W17)),IF(T17="Probabilidad",P17,"")),"")</f>
        <v/>
      </c>
      <c r="AF17" s="235"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236"/>
      <c r="AH17" s="126"/>
      <c r="AI17" s="121"/>
      <c r="AJ17" s="128"/>
      <c r="AK17" s="128"/>
      <c r="AL17" s="126"/>
      <c r="AM17" s="230"/>
    </row>
    <row r="18" spans="1:39" s="163" customFormat="1" ht="151.5" customHeight="1" x14ac:dyDescent="0.35">
      <c r="A18" s="393"/>
      <c r="B18" s="372"/>
      <c r="C18" s="375"/>
      <c r="D18" s="374"/>
      <c r="E18" s="346"/>
      <c r="F18" s="346"/>
      <c r="G18" s="346"/>
      <c r="H18" s="341"/>
      <c r="I18" s="346"/>
      <c r="J18" s="348"/>
      <c r="K18" s="351"/>
      <c r="L18" s="354"/>
      <c r="M18" s="356"/>
      <c r="N18" s="142"/>
      <c r="O18" s="351"/>
      <c r="P18" s="354"/>
      <c r="Q18" s="344"/>
      <c r="R18" s="130">
        <v>3</v>
      </c>
      <c r="S18" s="98"/>
      <c r="T18" s="131" t="str">
        <f t="shared" si="33"/>
        <v/>
      </c>
      <c r="U18" s="146"/>
      <c r="V18" s="146"/>
      <c r="W18" s="147"/>
      <c r="X18" s="146"/>
      <c r="Y18" s="146"/>
      <c r="Z18" s="146"/>
      <c r="AA18" s="148" t="str">
        <f>IFERROR(IF(T18="Probabilidad",(AA17-(+AA17*W18)),IF(T18="Impacto",L18,"")),"")</f>
        <v/>
      </c>
      <c r="AB18" s="135" t="str">
        <f t="shared" si="34"/>
        <v/>
      </c>
      <c r="AC18" s="149" t="str">
        <f t="shared" si="35"/>
        <v/>
      </c>
      <c r="AD18" s="135" t="str">
        <f t="shared" si="36"/>
        <v/>
      </c>
      <c r="AE18" s="149" t="str">
        <f t="shared" si="37"/>
        <v/>
      </c>
      <c r="AF18" s="150" t="str">
        <f t="shared" si="38"/>
        <v/>
      </c>
      <c r="AG18" s="151"/>
      <c r="AH18" s="119"/>
      <c r="AI18" s="127"/>
      <c r="AJ18" s="143"/>
      <c r="AK18" s="143"/>
      <c r="AL18" s="119"/>
      <c r="AM18" s="140"/>
    </row>
    <row r="19" spans="1:39" s="163" customFormat="1" ht="172" customHeight="1" x14ac:dyDescent="0.35">
      <c r="A19" s="368">
        <v>6</v>
      </c>
      <c r="B19" s="370" t="s">
        <v>206</v>
      </c>
      <c r="C19" s="373" t="s">
        <v>207</v>
      </c>
      <c r="D19" s="373" t="s">
        <v>375</v>
      </c>
      <c r="E19" s="345" t="s">
        <v>119</v>
      </c>
      <c r="F19" s="398" t="s">
        <v>214</v>
      </c>
      <c r="G19" s="345" t="s">
        <v>215</v>
      </c>
      <c r="H19" s="340" t="s">
        <v>339</v>
      </c>
      <c r="I19" s="345" t="s">
        <v>328</v>
      </c>
      <c r="J19" s="347">
        <v>1</v>
      </c>
      <c r="K19" s="349" t="str">
        <f>IF(J19&lt;=0,"",IF(J19&lt;=2,"Muy Baja",IF(J19&lt;=24,"Baja",IF(J19&lt;=500,"Media",IF(J19&lt;=5000,"Alta","Muy Alta")))))</f>
        <v>Muy Baja</v>
      </c>
      <c r="L19" s="352">
        <f>IF(K19="","",IF(K19="Muy Baja",0.2,IF(K19="Baja",0.4,IF(K19="Media",0.6,IF(K19="Alta",0.8,IF(K19="Muy Alta",1,))))))</f>
        <v>0.2</v>
      </c>
      <c r="M19" s="355" t="s">
        <v>484</v>
      </c>
      <c r="N19" s="129" t="str">
        <f>IF(NOT(ISERROR(MATCH(M19,'Tabla Impacto'!$B$221:$B$223,0))),'Tabla Impacto'!$F$223&amp;"Por favor no seleccionar los criterios de impacto(Afectación Económica o presupuestal y Pérdida Reputacional)",M19)</f>
        <v xml:space="preserve"> Entre 50 y 100 SMLMV </v>
      </c>
      <c r="O19" s="349" t="str">
        <f>IF(OR(N19='Tabla Impacto'!$C$11,N19='Tabla Impacto'!$D$11),"Leve",IF(OR(N19='Tabla Impacto'!$C$12,N19='Tabla Impacto'!$D$12),"Menor",IF(OR(N19='Tabla Impacto'!$C$13,N19='Tabla Impacto'!$D$13),"Moderado",IF(OR(N19='Tabla Impacto'!$C$14,N19='Tabla Impacto'!$D$14),"Mayor",IF(OR(N19='Tabla Impacto'!$C$15,N19='Tabla Impacto'!$D$15),"Catastrófico","")))))</f>
        <v>Moderado</v>
      </c>
      <c r="P19" s="352">
        <f>IF(O19="","",IF(O19="Leve",0.2,IF(O19="Menor",0.4,IF(O19="Moderado",0.6,IF(O19="Mayor",0.8,IF(O19="Catastrófico",1,))))))</f>
        <v>0.6</v>
      </c>
      <c r="Q19" s="342"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30">
        <v>1</v>
      </c>
      <c r="S19" s="98" t="s">
        <v>216</v>
      </c>
      <c r="T19" s="131" t="str">
        <f t="shared" si="25"/>
        <v>Probabilidad</v>
      </c>
      <c r="U19" s="132" t="s">
        <v>15</v>
      </c>
      <c r="V19" s="132" t="s">
        <v>9</v>
      </c>
      <c r="W19" s="133" t="str">
        <f t="shared" si="26"/>
        <v>30%</v>
      </c>
      <c r="X19" s="132" t="s">
        <v>20</v>
      </c>
      <c r="Y19" s="132" t="s">
        <v>23</v>
      </c>
      <c r="Z19" s="132" t="s">
        <v>111</v>
      </c>
      <c r="AA19" s="134">
        <f t="shared" si="27"/>
        <v>0.14000000000000001</v>
      </c>
      <c r="AB19" s="135" t="str">
        <f t="shared" si="28"/>
        <v>Muy Baja</v>
      </c>
      <c r="AC19" s="136">
        <f t="shared" si="29"/>
        <v>0.14000000000000001</v>
      </c>
      <c r="AD19" s="135" t="str">
        <f t="shared" si="30"/>
        <v>Moderado</v>
      </c>
      <c r="AE19" s="136">
        <f t="shared" si="31"/>
        <v>0.6</v>
      </c>
      <c r="AF19" s="137" t="str">
        <f t="shared" si="32"/>
        <v>Moderado</v>
      </c>
      <c r="AG19" s="138" t="s">
        <v>122</v>
      </c>
      <c r="AH19" s="119" t="s">
        <v>217</v>
      </c>
      <c r="AI19" s="127" t="s">
        <v>203</v>
      </c>
      <c r="AJ19" s="128">
        <v>44562</v>
      </c>
      <c r="AK19" s="128" t="s">
        <v>373</v>
      </c>
      <c r="AL19" s="126" t="s">
        <v>329</v>
      </c>
      <c r="AM19" s="140"/>
    </row>
    <row r="20" spans="1:39" s="163" customFormat="1" ht="151.5" customHeight="1" x14ac:dyDescent="0.35">
      <c r="A20" s="369"/>
      <c r="B20" s="371"/>
      <c r="C20" s="375"/>
      <c r="D20" s="374"/>
      <c r="E20" s="346"/>
      <c r="F20" s="346"/>
      <c r="G20" s="346"/>
      <c r="H20" s="341"/>
      <c r="I20" s="346"/>
      <c r="J20" s="348"/>
      <c r="K20" s="350"/>
      <c r="L20" s="353"/>
      <c r="M20" s="356"/>
      <c r="N20" s="142"/>
      <c r="O20" s="350"/>
      <c r="P20" s="353"/>
      <c r="Q20" s="343"/>
      <c r="R20" s="130">
        <v>2</v>
      </c>
      <c r="S20" s="98"/>
      <c r="T20" s="131" t="str">
        <f t="shared" ref="T20:T42" si="39">IF(OR(U20="Preventivo",U20="Detectivo"),"Probabilidad",IF(U20="Correctivo","Impacto",""))</f>
        <v/>
      </c>
      <c r="U20" s="132"/>
      <c r="V20" s="132"/>
      <c r="W20" s="133" t="str">
        <f t="shared" ref="W20:W41" si="40">IF(AND(U20="Preventivo",V20="Automático"),"50%",IF(AND(U20="Preventivo",V20="Manual"),"40%",IF(AND(U20="Detectivo",V20="Automático"),"40%",IF(AND(U20="Detectivo",V20="Manual"),"30%",IF(AND(U20="Correctivo",V20="Automático"),"35%",IF(AND(U20="Correctivo",V20="Manual"),"25%",""))))))</f>
        <v/>
      </c>
      <c r="X20" s="132"/>
      <c r="Y20" s="132"/>
      <c r="Z20" s="132"/>
      <c r="AA20" s="134" t="str">
        <f>IFERROR(IF(T20="Probabilidad",(AA19-(+AA19*W20)),IF(T20="Impacto",L20,"")),"")</f>
        <v/>
      </c>
      <c r="AB20" s="135" t="str">
        <f t="shared" ref="AB20:AB42" si="41">IFERROR(IF(AA20="","",IF(AA20&lt;=0.2,"Muy Baja",IF(AA20&lt;=0.4,"Baja",IF(AA20&lt;=0.6,"Media",IF(AA20&lt;=0.8,"Alta","Muy Alta"))))),"")</f>
        <v/>
      </c>
      <c r="AC20" s="136" t="str">
        <f t="shared" ref="AC20:AC42" si="42">+AA20</f>
        <v/>
      </c>
      <c r="AD20" s="135" t="str">
        <f t="shared" ref="AD20:AD42" si="43">IFERROR(IF(AE20="","",IF(AE20&lt;=0.2,"Leve",IF(AE20&lt;=0.4,"Menor",IF(AE20&lt;=0.6,"Moderado",IF(AE20&lt;=0.8,"Mayor","Catastrófico"))))),"")</f>
        <v/>
      </c>
      <c r="AE20" s="136" t="str">
        <f t="shared" ref="AE20:AE42" si="44">IFERROR(IF(T20="Impacto",(P20-(+P20*W20)),IF(T20="Probabilidad",P20,"")),"")</f>
        <v/>
      </c>
      <c r="AF20" s="137" t="str">
        <f t="shared" ref="AF20:AF42" si="45">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38"/>
      <c r="AH20" s="119"/>
      <c r="AI20" s="127"/>
      <c r="AJ20" s="143"/>
      <c r="AK20" s="143"/>
      <c r="AL20" s="119"/>
      <c r="AM20" s="140"/>
    </row>
    <row r="21" spans="1:39" s="163" customFormat="1" ht="151.5" customHeight="1" x14ac:dyDescent="0.35">
      <c r="A21" s="369"/>
      <c r="B21" s="372"/>
      <c r="C21" s="375"/>
      <c r="D21" s="374"/>
      <c r="E21" s="346"/>
      <c r="F21" s="346"/>
      <c r="G21" s="346"/>
      <c r="H21" s="341"/>
      <c r="I21" s="346"/>
      <c r="J21" s="348"/>
      <c r="K21" s="351"/>
      <c r="L21" s="354"/>
      <c r="M21" s="356"/>
      <c r="N21" s="142"/>
      <c r="O21" s="351"/>
      <c r="P21" s="354"/>
      <c r="Q21" s="344"/>
      <c r="R21" s="130">
        <v>3</v>
      </c>
      <c r="S21" s="98"/>
      <c r="T21" s="131" t="str">
        <f t="shared" si="39"/>
        <v/>
      </c>
      <c r="U21" s="132"/>
      <c r="V21" s="132"/>
      <c r="W21" s="133" t="str">
        <f t="shared" si="40"/>
        <v/>
      </c>
      <c r="X21" s="132"/>
      <c r="Y21" s="132"/>
      <c r="Z21" s="132"/>
      <c r="AA21" s="134" t="str">
        <f>IFERROR(IF(T21="Probabilidad",(AA20-(+AA20*W21)),IF(T21="Impacto",L21,"")),"")</f>
        <v/>
      </c>
      <c r="AB21" s="135" t="str">
        <f t="shared" si="41"/>
        <v/>
      </c>
      <c r="AC21" s="136" t="str">
        <f t="shared" si="42"/>
        <v/>
      </c>
      <c r="AD21" s="135" t="str">
        <f t="shared" si="43"/>
        <v/>
      </c>
      <c r="AE21" s="136" t="str">
        <f t="shared" si="44"/>
        <v/>
      </c>
      <c r="AF21" s="137" t="str">
        <f t="shared" si="45"/>
        <v/>
      </c>
      <c r="AG21" s="138"/>
      <c r="AH21" s="119"/>
      <c r="AI21" s="127"/>
      <c r="AJ21" s="143"/>
      <c r="AK21" s="143"/>
      <c r="AL21" s="119"/>
      <c r="AM21" s="140"/>
    </row>
    <row r="22" spans="1:39" s="163" customFormat="1" ht="226.5" customHeight="1" x14ac:dyDescent="0.35">
      <c r="A22" s="369">
        <v>7</v>
      </c>
      <c r="B22" s="370" t="s">
        <v>218</v>
      </c>
      <c r="C22" s="373" t="s">
        <v>219</v>
      </c>
      <c r="D22" s="373" t="s">
        <v>220</v>
      </c>
      <c r="E22" s="345" t="s">
        <v>120</v>
      </c>
      <c r="F22" s="398" t="s">
        <v>221</v>
      </c>
      <c r="G22" s="345" t="s">
        <v>222</v>
      </c>
      <c r="H22" s="340" t="s">
        <v>576</v>
      </c>
      <c r="I22" s="345" t="s">
        <v>115</v>
      </c>
      <c r="J22" s="347">
        <v>1460</v>
      </c>
      <c r="K22" s="349" t="str">
        <f>IF(J22&lt;=0,"",IF(J22&lt;=2,"Muy Baja",IF(J22&lt;=24,"Baja",IF(J22&lt;=500,"Media",IF(J22&lt;=5000,"Alta","Muy Alta")))))</f>
        <v>Alta</v>
      </c>
      <c r="L22" s="352">
        <f>IF(K22="","",IF(K22="Muy Baja",0.2,IF(K22="Baja",0.4,IF(K22="Media",0.6,IF(K22="Alta",0.8,IF(K22="Muy Alta",1,))))))</f>
        <v>0.8</v>
      </c>
      <c r="M22" s="355" t="s">
        <v>485</v>
      </c>
      <c r="N22" s="129"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49" t="str">
        <f>IF(OR(N22='Tabla Impacto'!$C$11,N22='Tabla Impacto'!$D$11),"Leve",IF(OR(N22='Tabla Impacto'!$C$12,N22='Tabla Impacto'!$D$12),"Menor",IF(OR(N22='Tabla Impacto'!$C$13,N22='Tabla Impacto'!$D$13),"Moderado",IF(OR(N22='Tabla Impacto'!$C$14,N22='Tabla Impacto'!$D$14),"Mayor",IF(OR(N22='Tabla Impacto'!$C$15,N22='Tabla Impacto'!$D$15),"Catastrófico","")))))</f>
        <v>Moderado</v>
      </c>
      <c r="P22" s="352">
        <f>IF(O22="","",IF(O22="Leve",0.2,IF(O22="Menor",0.4,IF(O22="Moderado",0.6,IF(O22="Mayor",0.8,IF(O22="Catastrófico",1,))))))</f>
        <v>0.6</v>
      </c>
      <c r="Q22" s="342"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30">
        <v>1</v>
      </c>
      <c r="S22" s="119" t="s">
        <v>577</v>
      </c>
      <c r="T22" s="158" t="str">
        <f t="shared" si="39"/>
        <v>Probabilidad</v>
      </c>
      <c r="U22" s="146" t="s">
        <v>14</v>
      </c>
      <c r="V22" s="132" t="s">
        <v>9</v>
      </c>
      <c r="W22" s="133" t="str">
        <f t="shared" si="40"/>
        <v>40%</v>
      </c>
      <c r="X22" s="132" t="s">
        <v>19</v>
      </c>
      <c r="Y22" s="132" t="s">
        <v>22</v>
      </c>
      <c r="Z22" s="132" t="s">
        <v>110</v>
      </c>
      <c r="AA22" s="134">
        <f t="shared" ref="AA22:AA40" si="46">IFERROR(IF(T22="Probabilidad",(L22-(+L22*W22)),IF(T22="Impacto",L22,"")),"")</f>
        <v>0.48</v>
      </c>
      <c r="AB22" s="135" t="str">
        <f t="shared" si="41"/>
        <v>Media</v>
      </c>
      <c r="AC22" s="136">
        <f t="shared" si="42"/>
        <v>0.48</v>
      </c>
      <c r="AD22" s="135" t="str">
        <f t="shared" si="43"/>
        <v>Moderado</v>
      </c>
      <c r="AE22" s="136">
        <f t="shared" si="44"/>
        <v>0.6</v>
      </c>
      <c r="AF22" s="137" t="str">
        <f t="shared" si="45"/>
        <v>Moderado</v>
      </c>
      <c r="AG22" s="138" t="s">
        <v>122</v>
      </c>
      <c r="AH22" s="152" t="s">
        <v>223</v>
      </c>
      <c r="AI22" s="153" t="s">
        <v>212</v>
      </c>
      <c r="AJ22" s="128">
        <v>44562</v>
      </c>
      <c r="AK22" s="128" t="s">
        <v>373</v>
      </c>
      <c r="AL22" s="152" t="s">
        <v>578</v>
      </c>
      <c r="AM22" s="140"/>
    </row>
    <row r="23" spans="1:39" s="163" customFormat="1" ht="151.5" customHeight="1" x14ac:dyDescent="0.35">
      <c r="A23" s="369"/>
      <c r="B23" s="371"/>
      <c r="C23" s="375"/>
      <c r="D23" s="374"/>
      <c r="E23" s="346"/>
      <c r="F23" s="346"/>
      <c r="G23" s="346"/>
      <c r="H23" s="341"/>
      <c r="I23" s="346"/>
      <c r="J23" s="348"/>
      <c r="K23" s="350"/>
      <c r="L23" s="353"/>
      <c r="M23" s="356"/>
      <c r="N23" s="142"/>
      <c r="O23" s="350"/>
      <c r="P23" s="353"/>
      <c r="Q23" s="343"/>
      <c r="R23" s="130">
        <v>2</v>
      </c>
      <c r="S23" s="98"/>
      <c r="T23" s="131" t="str">
        <f t="shared" si="39"/>
        <v/>
      </c>
      <c r="U23" s="132"/>
      <c r="V23" s="132"/>
      <c r="W23" s="133"/>
      <c r="X23" s="132"/>
      <c r="Y23" s="132"/>
      <c r="Z23" s="132"/>
      <c r="AA23" s="134" t="str">
        <f>IFERROR(IF(T23="Probabilidad",(AA22-(+AA22*W23)),IF(T23="Impacto",L23,"")),"")</f>
        <v/>
      </c>
      <c r="AB23" s="135" t="str">
        <f t="shared" si="41"/>
        <v/>
      </c>
      <c r="AC23" s="136" t="str">
        <f t="shared" si="42"/>
        <v/>
      </c>
      <c r="AD23" s="135" t="str">
        <f t="shared" si="43"/>
        <v/>
      </c>
      <c r="AE23" s="136" t="str">
        <f t="shared" si="44"/>
        <v/>
      </c>
      <c r="AF23" s="137" t="str">
        <f t="shared" si="45"/>
        <v/>
      </c>
      <c r="AG23" s="138"/>
      <c r="AH23" s="119"/>
      <c r="AI23" s="127"/>
      <c r="AJ23" s="143"/>
      <c r="AK23" s="143"/>
      <c r="AL23" s="119"/>
      <c r="AM23" s="140"/>
    </row>
    <row r="24" spans="1:39" s="163" customFormat="1" ht="151.5" customHeight="1" x14ac:dyDescent="0.35">
      <c r="A24" s="369"/>
      <c r="B24" s="372"/>
      <c r="C24" s="375"/>
      <c r="D24" s="374"/>
      <c r="E24" s="346"/>
      <c r="F24" s="346"/>
      <c r="G24" s="346"/>
      <c r="H24" s="341"/>
      <c r="I24" s="346"/>
      <c r="J24" s="348"/>
      <c r="K24" s="351"/>
      <c r="L24" s="354"/>
      <c r="M24" s="356"/>
      <c r="N24" s="142"/>
      <c r="O24" s="351"/>
      <c r="P24" s="354"/>
      <c r="Q24" s="344"/>
      <c r="R24" s="130">
        <v>3</v>
      </c>
      <c r="S24" s="98"/>
      <c r="T24" s="131" t="str">
        <f t="shared" si="39"/>
        <v/>
      </c>
      <c r="U24" s="132"/>
      <c r="V24" s="132"/>
      <c r="W24" s="133"/>
      <c r="X24" s="132"/>
      <c r="Y24" s="132"/>
      <c r="Z24" s="132"/>
      <c r="AA24" s="134" t="str">
        <f>IFERROR(IF(T24="Probabilidad",(AA23-(+AA23*W24)),IF(T24="Impacto",L24,"")),"")</f>
        <v/>
      </c>
      <c r="AB24" s="135" t="str">
        <f t="shared" si="41"/>
        <v/>
      </c>
      <c r="AC24" s="136" t="str">
        <f t="shared" si="42"/>
        <v/>
      </c>
      <c r="AD24" s="135" t="str">
        <f t="shared" si="43"/>
        <v/>
      </c>
      <c r="AE24" s="136" t="str">
        <f t="shared" si="44"/>
        <v/>
      </c>
      <c r="AF24" s="137" t="str">
        <f t="shared" si="45"/>
        <v/>
      </c>
      <c r="AG24" s="138"/>
      <c r="AH24" s="119"/>
      <c r="AI24" s="127"/>
      <c r="AJ24" s="143"/>
      <c r="AK24" s="143"/>
      <c r="AL24" s="119"/>
      <c r="AM24" s="140"/>
    </row>
    <row r="25" spans="1:39" s="163" customFormat="1" ht="151.5" customHeight="1" x14ac:dyDescent="0.35">
      <c r="A25" s="369">
        <v>8</v>
      </c>
      <c r="B25" s="370" t="s">
        <v>224</v>
      </c>
      <c r="C25" s="373" t="s">
        <v>219</v>
      </c>
      <c r="D25" s="373" t="s">
        <v>220</v>
      </c>
      <c r="E25" s="345" t="s">
        <v>118</v>
      </c>
      <c r="F25" s="345" t="s">
        <v>225</v>
      </c>
      <c r="G25" s="345" t="s">
        <v>438</v>
      </c>
      <c r="H25" s="340" t="s">
        <v>226</v>
      </c>
      <c r="I25" s="345" t="s">
        <v>328</v>
      </c>
      <c r="J25" s="347">
        <v>1460</v>
      </c>
      <c r="K25" s="349" t="str">
        <f>IF(J25&lt;=0,"",IF(J25&lt;=2,"Muy Baja",IF(J25&lt;=24,"Baja",IF(J25&lt;=500,"Media",IF(J25&lt;=5000,"Alta","Muy Alta")))))</f>
        <v>Alta</v>
      </c>
      <c r="L25" s="352">
        <f>IF(K25="","",IF(K25="Muy Baja",0.2,IF(K25="Baja",0.4,IF(K25="Media",0.6,IF(K25="Alta",0.8,IF(K25="Muy Alta",1,))))))</f>
        <v>0.8</v>
      </c>
      <c r="M25" s="355" t="s">
        <v>492</v>
      </c>
      <c r="N25" s="129" t="str">
        <f>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49" t="str">
        <f>IF(OR(N25='Tabla Impacto'!$C$11,N25='Tabla Impacto'!$D$11),"Leve",IF(OR(N25='Tabla Impacto'!$C$12,N25='Tabla Impacto'!$D$12),"Menor",IF(OR(N25='Tabla Impacto'!$C$13,N25='Tabla Impacto'!$D$13),"Moderado",IF(OR(N25='Tabla Impacto'!$C$14,N25='Tabla Impacto'!$D$14),"Mayor",IF(OR(N25='Tabla Impacto'!$C$15,N25='Tabla Impacto'!$D$15),"Catastrófico","")))))</f>
        <v>Mayor</v>
      </c>
      <c r="P25" s="352">
        <f>IF(O25="","",IF(O25="Leve",0.2,IF(O25="Menor",0.4,IF(O25="Moderado",0.6,IF(O25="Mayor",0.8,IF(O25="Catastrófico",1,))))))</f>
        <v>0.8</v>
      </c>
      <c r="Q25" s="342"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30">
        <v>1</v>
      </c>
      <c r="S25" s="120" t="s">
        <v>227</v>
      </c>
      <c r="T25" s="131" t="str">
        <f t="shared" si="39"/>
        <v>Probabilidad</v>
      </c>
      <c r="U25" s="132" t="s">
        <v>14</v>
      </c>
      <c r="V25" s="132" t="s">
        <v>9</v>
      </c>
      <c r="W25" s="133" t="str">
        <f t="shared" si="40"/>
        <v>40%</v>
      </c>
      <c r="X25" s="132" t="s">
        <v>19</v>
      </c>
      <c r="Y25" s="132" t="s">
        <v>22</v>
      </c>
      <c r="Z25" s="132" t="s">
        <v>110</v>
      </c>
      <c r="AA25" s="134">
        <f t="shared" si="46"/>
        <v>0.48</v>
      </c>
      <c r="AB25" s="135" t="str">
        <f t="shared" si="41"/>
        <v>Media</v>
      </c>
      <c r="AC25" s="136">
        <f t="shared" si="42"/>
        <v>0.48</v>
      </c>
      <c r="AD25" s="135" t="str">
        <f t="shared" si="43"/>
        <v>Mayor</v>
      </c>
      <c r="AE25" s="136">
        <f t="shared" si="44"/>
        <v>0.8</v>
      </c>
      <c r="AF25" s="137" t="str">
        <f t="shared" si="45"/>
        <v>Alto</v>
      </c>
      <c r="AG25" s="138" t="s">
        <v>122</v>
      </c>
      <c r="AH25" s="152" t="s">
        <v>229</v>
      </c>
      <c r="AI25" s="153" t="s">
        <v>212</v>
      </c>
      <c r="AJ25" s="128">
        <v>44562</v>
      </c>
      <c r="AK25" s="128" t="s">
        <v>373</v>
      </c>
      <c r="AL25" s="152" t="s">
        <v>230</v>
      </c>
      <c r="AM25" s="140"/>
    </row>
    <row r="26" spans="1:39" s="163" customFormat="1" ht="151.5" customHeight="1" x14ac:dyDescent="0.35">
      <c r="A26" s="369"/>
      <c r="B26" s="371"/>
      <c r="C26" s="375"/>
      <c r="D26" s="374"/>
      <c r="E26" s="346"/>
      <c r="F26" s="346"/>
      <c r="G26" s="346"/>
      <c r="H26" s="341"/>
      <c r="I26" s="346"/>
      <c r="J26" s="348"/>
      <c r="K26" s="350"/>
      <c r="L26" s="353"/>
      <c r="M26" s="356"/>
      <c r="N26" s="142"/>
      <c r="O26" s="350"/>
      <c r="P26" s="353"/>
      <c r="Q26" s="343"/>
      <c r="R26" s="130">
        <v>2</v>
      </c>
      <c r="S26" s="120" t="s">
        <v>228</v>
      </c>
      <c r="T26" s="131" t="str">
        <f t="shared" si="39"/>
        <v>Probabilidad</v>
      </c>
      <c r="U26" s="132" t="s">
        <v>14</v>
      </c>
      <c r="V26" s="132" t="s">
        <v>9</v>
      </c>
      <c r="W26" s="133" t="str">
        <f t="shared" si="40"/>
        <v>40%</v>
      </c>
      <c r="X26" s="132" t="s">
        <v>19</v>
      </c>
      <c r="Y26" s="132" t="s">
        <v>22</v>
      </c>
      <c r="Z26" s="132" t="s">
        <v>110</v>
      </c>
      <c r="AA26" s="134">
        <f>IFERROR(IF(T26="Probabilidad",(AA25-(+AA25*W26)),IF(T26="Impacto",L26,"")),"")</f>
        <v>0.28799999999999998</v>
      </c>
      <c r="AB26" s="135" t="str">
        <f t="shared" si="41"/>
        <v>Baja</v>
      </c>
      <c r="AC26" s="136">
        <f t="shared" si="42"/>
        <v>0.28799999999999998</v>
      </c>
      <c r="AD26" s="135" t="str">
        <f t="shared" si="43"/>
        <v>Mayor</v>
      </c>
      <c r="AE26" s="136">
        <v>0.8</v>
      </c>
      <c r="AF26" s="137" t="str">
        <f t="shared" si="45"/>
        <v>Alto</v>
      </c>
      <c r="AG26" s="138" t="s">
        <v>122</v>
      </c>
      <c r="AH26" s="152" t="s">
        <v>231</v>
      </c>
      <c r="AI26" s="153" t="s">
        <v>212</v>
      </c>
      <c r="AJ26" s="128">
        <v>44562</v>
      </c>
      <c r="AK26" s="128" t="s">
        <v>373</v>
      </c>
      <c r="AL26" s="152" t="s">
        <v>230</v>
      </c>
      <c r="AM26" s="140"/>
    </row>
    <row r="27" spans="1:39" s="163" customFormat="1" ht="151.5" customHeight="1" x14ac:dyDescent="0.35">
      <c r="A27" s="369"/>
      <c r="B27" s="372"/>
      <c r="C27" s="375"/>
      <c r="D27" s="374"/>
      <c r="E27" s="346"/>
      <c r="F27" s="346"/>
      <c r="G27" s="346"/>
      <c r="H27" s="341"/>
      <c r="I27" s="346"/>
      <c r="J27" s="348"/>
      <c r="K27" s="351"/>
      <c r="L27" s="354"/>
      <c r="M27" s="356"/>
      <c r="N27" s="142"/>
      <c r="O27" s="351"/>
      <c r="P27" s="354"/>
      <c r="Q27" s="344"/>
      <c r="R27" s="130">
        <v>3</v>
      </c>
      <c r="S27" s="98"/>
      <c r="T27" s="131" t="str">
        <f t="shared" si="39"/>
        <v/>
      </c>
      <c r="U27" s="132"/>
      <c r="V27" s="132"/>
      <c r="W27" s="133"/>
      <c r="X27" s="132"/>
      <c r="Y27" s="132"/>
      <c r="Z27" s="132"/>
      <c r="AA27" s="134" t="str">
        <f>IFERROR(IF(T27="Probabilidad",(AA26-(+AA26*W27)),IF(T27="Impacto",L27,"")),"")</f>
        <v/>
      </c>
      <c r="AB27" s="135" t="str">
        <f t="shared" si="41"/>
        <v/>
      </c>
      <c r="AC27" s="136" t="str">
        <f t="shared" si="42"/>
        <v/>
      </c>
      <c r="AD27" s="135" t="str">
        <f t="shared" si="43"/>
        <v/>
      </c>
      <c r="AE27" s="136" t="str">
        <f t="shared" si="44"/>
        <v/>
      </c>
      <c r="AF27" s="137" t="str">
        <f t="shared" si="45"/>
        <v/>
      </c>
      <c r="AG27" s="138"/>
      <c r="AH27" s="119"/>
      <c r="AI27" s="127"/>
      <c r="AJ27" s="143"/>
      <c r="AK27" s="143"/>
      <c r="AL27" s="119"/>
      <c r="AM27" s="140"/>
    </row>
    <row r="28" spans="1:39" s="163" customFormat="1" ht="151.5" customHeight="1" x14ac:dyDescent="0.35">
      <c r="A28" s="369">
        <v>9</v>
      </c>
      <c r="B28" s="370" t="s">
        <v>224</v>
      </c>
      <c r="C28" s="373" t="s">
        <v>219</v>
      </c>
      <c r="D28" s="373" t="s">
        <v>220</v>
      </c>
      <c r="E28" s="345" t="s">
        <v>120</v>
      </c>
      <c r="F28" s="345" t="s">
        <v>510</v>
      </c>
      <c r="G28" s="345" t="s">
        <v>232</v>
      </c>
      <c r="H28" s="340" t="s">
        <v>233</v>
      </c>
      <c r="I28" s="345" t="s">
        <v>328</v>
      </c>
      <c r="J28" s="347">
        <v>1460</v>
      </c>
      <c r="K28" s="349" t="str">
        <f>IF(J28&lt;=0,"",IF(J28&lt;=2,"Muy Baja",IF(J28&lt;=24,"Baja",IF(J28&lt;=500,"Media",IF(J28&lt;=5000,"Alta","Muy Alta")))))</f>
        <v>Alta</v>
      </c>
      <c r="L28" s="352">
        <f>IF(K28="","",IF(K28="Muy Baja",0.2,IF(K28="Baja",0.4,IF(K28="Media",0.6,IF(K28="Alta",0.8,IF(K28="Muy Alta",1,))))))</f>
        <v>0.8</v>
      </c>
      <c r="M28" s="355" t="s">
        <v>485</v>
      </c>
      <c r="N28" s="129"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49" t="str">
        <f>IF(OR(N28='Tabla Impacto'!$C$11,N28='Tabla Impacto'!$D$11),"Leve",IF(OR(N28='Tabla Impacto'!$C$12,N28='Tabla Impacto'!$D$12),"Menor",IF(OR(N28='Tabla Impacto'!$C$13,N28='Tabla Impacto'!$D$13),"Moderado",IF(OR(N28='Tabla Impacto'!$C$14,N28='Tabla Impacto'!$D$14),"Mayor",IF(OR(N28='Tabla Impacto'!$C$15,N28='Tabla Impacto'!$D$15),"Catastrófico","")))))</f>
        <v>Moderado</v>
      </c>
      <c r="P28" s="352">
        <f>IF(O28="","",IF(O28="Leve",0.2,IF(O28="Menor",0.4,IF(O28="Moderado",0.6,IF(O28="Mayor",0.8,IF(O28="Catastrófico",1,))))))</f>
        <v>0.6</v>
      </c>
      <c r="Q28" s="342"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30">
        <v>1</v>
      </c>
      <c r="S28" s="98" t="s">
        <v>227</v>
      </c>
      <c r="T28" s="131" t="str">
        <f t="shared" si="39"/>
        <v>Probabilidad</v>
      </c>
      <c r="U28" s="132" t="s">
        <v>14</v>
      </c>
      <c r="V28" s="132" t="s">
        <v>9</v>
      </c>
      <c r="W28" s="133" t="str">
        <f t="shared" si="40"/>
        <v>40%</v>
      </c>
      <c r="X28" s="132" t="s">
        <v>19</v>
      </c>
      <c r="Y28" s="132" t="s">
        <v>23</v>
      </c>
      <c r="Z28" s="132" t="s">
        <v>110</v>
      </c>
      <c r="AA28" s="134">
        <f t="shared" si="46"/>
        <v>0.48</v>
      </c>
      <c r="AB28" s="135" t="str">
        <f t="shared" si="41"/>
        <v>Media</v>
      </c>
      <c r="AC28" s="136">
        <f t="shared" si="42"/>
        <v>0.48</v>
      </c>
      <c r="AD28" s="135" t="str">
        <f t="shared" si="43"/>
        <v>Moderado</v>
      </c>
      <c r="AE28" s="136">
        <f t="shared" si="44"/>
        <v>0.6</v>
      </c>
      <c r="AF28" s="137" t="str">
        <f t="shared" si="45"/>
        <v>Moderado</v>
      </c>
      <c r="AG28" s="138" t="s">
        <v>122</v>
      </c>
      <c r="AH28" s="152" t="s">
        <v>236</v>
      </c>
      <c r="AI28" s="153" t="s">
        <v>212</v>
      </c>
      <c r="AJ28" s="128">
        <v>44562</v>
      </c>
      <c r="AK28" s="128" t="s">
        <v>373</v>
      </c>
      <c r="AL28" s="152" t="s">
        <v>235</v>
      </c>
      <c r="AM28" s="127"/>
    </row>
    <row r="29" spans="1:39" s="163" customFormat="1" ht="151.5" customHeight="1" x14ac:dyDescent="0.35">
      <c r="A29" s="369"/>
      <c r="B29" s="371"/>
      <c r="C29" s="375"/>
      <c r="D29" s="374"/>
      <c r="E29" s="346"/>
      <c r="F29" s="346"/>
      <c r="G29" s="346"/>
      <c r="H29" s="341"/>
      <c r="I29" s="346"/>
      <c r="J29" s="348"/>
      <c r="K29" s="350"/>
      <c r="L29" s="353"/>
      <c r="M29" s="356"/>
      <c r="N29" s="142"/>
      <c r="O29" s="350"/>
      <c r="P29" s="353"/>
      <c r="Q29" s="343"/>
      <c r="R29" s="130">
        <v>2</v>
      </c>
      <c r="S29" s="98" t="s">
        <v>228</v>
      </c>
      <c r="T29" s="131" t="str">
        <f t="shared" si="39"/>
        <v>Probabilidad</v>
      </c>
      <c r="U29" s="132" t="s">
        <v>14</v>
      </c>
      <c r="V29" s="132" t="s">
        <v>9</v>
      </c>
      <c r="W29" s="133" t="str">
        <f t="shared" si="40"/>
        <v>40%</v>
      </c>
      <c r="X29" s="132" t="s">
        <v>19</v>
      </c>
      <c r="Y29" s="132" t="s">
        <v>23</v>
      </c>
      <c r="Z29" s="132" t="s">
        <v>111</v>
      </c>
      <c r="AA29" s="134">
        <f>IFERROR(IF(T29="Probabilidad",(AA28-(+AA28*W29)),IF(T29="Impacto",L29,"")),"")</f>
        <v>0.28799999999999998</v>
      </c>
      <c r="AB29" s="135" t="str">
        <f t="shared" si="41"/>
        <v>Baja</v>
      </c>
      <c r="AC29" s="136">
        <f t="shared" si="42"/>
        <v>0.28799999999999998</v>
      </c>
      <c r="AD29" s="135" t="str">
        <f t="shared" si="43"/>
        <v>Moderado</v>
      </c>
      <c r="AE29" s="136">
        <v>0.6</v>
      </c>
      <c r="AF29" s="137" t="str">
        <f t="shared" si="45"/>
        <v>Moderado</v>
      </c>
      <c r="AG29" s="138" t="s">
        <v>122</v>
      </c>
      <c r="AH29" s="152" t="s">
        <v>236</v>
      </c>
      <c r="AI29" s="153" t="s">
        <v>212</v>
      </c>
      <c r="AJ29" s="128">
        <v>44562</v>
      </c>
      <c r="AK29" s="128" t="s">
        <v>373</v>
      </c>
      <c r="AL29" s="152" t="s">
        <v>235</v>
      </c>
      <c r="AM29" s="127"/>
    </row>
    <row r="30" spans="1:39" s="163" customFormat="1" ht="151.5" customHeight="1" x14ac:dyDescent="0.35">
      <c r="A30" s="369"/>
      <c r="B30" s="372"/>
      <c r="C30" s="375"/>
      <c r="D30" s="374"/>
      <c r="E30" s="346"/>
      <c r="F30" s="346"/>
      <c r="G30" s="346"/>
      <c r="H30" s="341"/>
      <c r="I30" s="346"/>
      <c r="J30" s="348"/>
      <c r="K30" s="351"/>
      <c r="L30" s="354"/>
      <c r="M30" s="356"/>
      <c r="N30" s="142"/>
      <c r="O30" s="351"/>
      <c r="P30" s="354"/>
      <c r="Q30" s="344"/>
      <c r="R30" s="130">
        <v>3</v>
      </c>
      <c r="S30" s="98" t="s">
        <v>234</v>
      </c>
      <c r="T30" s="131" t="str">
        <f t="shared" si="39"/>
        <v>Probabilidad</v>
      </c>
      <c r="U30" s="132" t="s">
        <v>15</v>
      </c>
      <c r="V30" s="132" t="s">
        <v>9</v>
      </c>
      <c r="W30" s="133" t="str">
        <f t="shared" si="40"/>
        <v>30%</v>
      </c>
      <c r="X30" s="132" t="s">
        <v>19</v>
      </c>
      <c r="Y30" s="132" t="s">
        <v>22</v>
      </c>
      <c r="Z30" s="132" t="s">
        <v>110</v>
      </c>
      <c r="AA30" s="134">
        <f>IFERROR(IF(T30="Probabilidad",(AA29-(+AA29*W30)),IF(T30="Impacto",L30,"")),"")</f>
        <v>0.2016</v>
      </c>
      <c r="AB30" s="135" t="str">
        <f t="shared" si="41"/>
        <v>Baja</v>
      </c>
      <c r="AC30" s="136">
        <f t="shared" si="42"/>
        <v>0.2016</v>
      </c>
      <c r="AD30" s="135" t="str">
        <f t="shared" si="43"/>
        <v>Moderado</v>
      </c>
      <c r="AE30" s="136">
        <v>0.6</v>
      </c>
      <c r="AF30" s="137" t="str">
        <f t="shared" si="45"/>
        <v>Moderado</v>
      </c>
      <c r="AG30" s="138" t="s">
        <v>122</v>
      </c>
      <c r="AH30" s="152" t="s">
        <v>236</v>
      </c>
      <c r="AI30" s="153" t="s">
        <v>212</v>
      </c>
      <c r="AJ30" s="128">
        <v>44562</v>
      </c>
      <c r="AK30" s="128" t="s">
        <v>373</v>
      </c>
      <c r="AL30" s="152" t="s">
        <v>235</v>
      </c>
      <c r="AM30" s="127"/>
    </row>
    <row r="31" spans="1:39" s="163" customFormat="1" ht="285" customHeight="1" x14ac:dyDescent="0.35">
      <c r="A31" s="369">
        <v>10</v>
      </c>
      <c r="B31" s="370" t="s">
        <v>237</v>
      </c>
      <c r="C31" s="373" t="s">
        <v>355</v>
      </c>
      <c r="D31" s="373" t="s">
        <v>383</v>
      </c>
      <c r="E31" s="345" t="s">
        <v>118</v>
      </c>
      <c r="F31" s="398" t="s">
        <v>364</v>
      </c>
      <c r="G31" s="398" t="s">
        <v>365</v>
      </c>
      <c r="H31" s="340" t="s">
        <v>541</v>
      </c>
      <c r="I31" s="345" t="s">
        <v>115</v>
      </c>
      <c r="J31" s="347">
        <v>20</v>
      </c>
      <c r="K31" s="349" t="str">
        <f>IF(J31&lt;=0,"",IF(J31&lt;=2,"Muy Baja",IF(J31&lt;=24,"Baja",IF(J31&lt;=500,"Media",IF(J31&lt;=5000,"Alta","Muy Alta")))))</f>
        <v>Baja</v>
      </c>
      <c r="L31" s="352">
        <f>IF(K31="","",IF(K31="Muy Baja",0.2,IF(K31="Baja",0.4,IF(K31="Media",0.6,IF(K31="Alta",0.8,IF(K31="Muy Alta",1,))))))</f>
        <v>0.4</v>
      </c>
      <c r="M31" s="355" t="s">
        <v>492</v>
      </c>
      <c r="N31" s="129" t="str">
        <f>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49" t="str">
        <f>IF(OR(N31='Tabla Impacto'!$C$11,N31='Tabla Impacto'!$D$11),"Leve",IF(OR(N31='Tabla Impacto'!$C$12,N31='Tabla Impacto'!$D$12),"Menor",IF(OR(N31='Tabla Impacto'!$C$13,N31='Tabla Impacto'!$D$13),"Moderado",IF(OR(N31='Tabla Impacto'!$C$14,N31='Tabla Impacto'!$D$14),"Mayor",IF(OR(N31='Tabla Impacto'!$C$15,N31='Tabla Impacto'!$D$15),"Catastrófico","")))))</f>
        <v>Mayor</v>
      </c>
      <c r="P31" s="352">
        <f>IF(O31="","",IF(O31="Leve",0.2,IF(O31="Menor",0.4,IF(O31="Moderado",0.6,IF(O31="Mayor",0.8,IF(O31="Catastrófico",1,))))))</f>
        <v>0.8</v>
      </c>
      <c r="Q31" s="342"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30">
        <v>1</v>
      </c>
      <c r="S31" s="98" t="s">
        <v>574</v>
      </c>
      <c r="T31" s="131" t="str">
        <f t="shared" si="39"/>
        <v>Probabilidad</v>
      </c>
      <c r="U31" s="132" t="s">
        <v>14</v>
      </c>
      <c r="V31" s="132" t="s">
        <v>9</v>
      </c>
      <c r="W31" s="133" t="str">
        <f t="shared" si="40"/>
        <v>40%</v>
      </c>
      <c r="X31" s="132" t="s">
        <v>19</v>
      </c>
      <c r="Y31" s="132" t="s">
        <v>22</v>
      </c>
      <c r="Z31" s="132" t="s">
        <v>110</v>
      </c>
      <c r="AA31" s="134">
        <f t="shared" si="46"/>
        <v>0.24</v>
      </c>
      <c r="AB31" s="135" t="str">
        <f t="shared" si="41"/>
        <v>Baja</v>
      </c>
      <c r="AC31" s="136">
        <f t="shared" si="42"/>
        <v>0.24</v>
      </c>
      <c r="AD31" s="135" t="str">
        <f t="shared" si="43"/>
        <v>Mayor</v>
      </c>
      <c r="AE31" s="136">
        <f t="shared" si="44"/>
        <v>0.8</v>
      </c>
      <c r="AF31" s="137" t="str">
        <f t="shared" si="45"/>
        <v>Alto</v>
      </c>
      <c r="AG31" s="138" t="s">
        <v>122</v>
      </c>
      <c r="AH31" s="152" t="s">
        <v>575</v>
      </c>
      <c r="AI31" s="121" t="s">
        <v>198</v>
      </c>
      <c r="AJ31" s="128" t="s">
        <v>286</v>
      </c>
      <c r="AK31" s="128" t="s">
        <v>287</v>
      </c>
      <c r="AL31" s="119" t="s">
        <v>366</v>
      </c>
      <c r="AM31" s="127"/>
    </row>
    <row r="32" spans="1:39" s="163" customFormat="1" ht="151.5" customHeight="1" x14ac:dyDescent="0.35">
      <c r="A32" s="369"/>
      <c r="B32" s="371"/>
      <c r="C32" s="374"/>
      <c r="D32" s="374"/>
      <c r="E32" s="346"/>
      <c r="F32" s="346"/>
      <c r="G32" s="346"/>
      <c r="H32" s="341"/>
      <c r="I32" s="346"/>
      <c r="J32" s="348"/>
      <c r="K32" s="350"/>
      <c r="L32" s="353"/>
      <c r="M32" s="356"/>
      <c r="N32" s="142"/>
      <c r="O32" s="350"/>
      <c r="P32" s="353"/>
      <c r="Q32" s="343"/>
      <c r="R32" s="130">
        <v>2</v>
      </c>
      <c r="S32" s="98"/>
      <c r="T32" s="131" t="str">
        <f t="shared" si="39"/>
        <v/>
      </c>
      <c r="U32" s="132"/>
      <c r="V32" s="132"/>
      <c r="W32" s="133"/>
      <c r="X32" s="132"/>
      <c r="Y32" s="132"/>
      <c r="Z32" s="132"/>
      <c r="AA32" s="134" t="str">
        <f>IFERROR(IF(T32="Probabilidad",(AA31-(+AA31*W32)),IF(T32="Impacto",L32,"")),"")</f>
        <v/>
      </c>
      <c r="AB32" s="135" t="str">
        <f t="shared" si="41"/>
        <v/>
      </c>
      <c r="AC32" s="136" t="str">
        <f t="shared" si="42"/>
        <v/>
      </c>
      <c r="AD32" s="135" t="str">
        <f t="shared" si="43"/>
        <v/>
      </c>
      <c r="AE32" s="136" t="str">
        <f t="shared" si="44"/>
        <v/>
      </c>
      <c r="AF32" s="137" t="str">
        <f t="shared" si="45"/>
        <v/>
      </c>
      <c r="AG32" s="138"/>
      <c r="AH32" s="119"/>
      <c r="AI32" s="127"/>
      <c r="AJ32" s="143"/>
      <c r="AK32" s="143"/>
      <c r="AL32" s="119"/>
      <c r="AM32" s="127"/>
    </row>
    <row r="33" spans="1:39" s="163" customFormat="1" ht="151.5" customHeight="1" x14ac:dyDescent="0.35">
      <c r="A33" s="369"/>
      <c r="B33" s="372"/>
      <c r="C33" s="374"/>
      <c r="D33" s="374"/>
      <c r="E33" s="346"/>
      <c r="F33" s="346"/>
      <c r="G33" s="346"/>
      <c r="H33" s="341"/>
      <c r="I33" s="346"/>
      <c r="J33" s="348"/>
      <c r="K33" s="351"/>
      <c r="L33" s="354"/>
      <c r="M33" s="356"/>
      <c r="N33" s="142"/>
      <c r="O33" s="351"/>
      <c r="P33" s="354"/>
      <c r="Q33" s="344"/>
      <c r="R33" s="130">
        <v>3</v>
      </c>
      <c r="S33" s="98"/>
      <c r="T33" s="131" t="str">
        <f t="shared" si="39"/>
        <v/>
      </c>
      <c r="U33" s="132"/>
      <c r="V33" s="132"/>
      <c r="W33" s="133"/>
      <c r="X33" s="132"/>
      <c r="Y33" s="132"/>
      <c r="Z33" s="132"/>
      <c r="AA33" s="134" t="str">
        <f>IFERROR(IF(T33="Probabilidad",(AA32-(+AA32*W33)),IF(T33="Impacto",L33,"")),"")</f>
        <v/>
      </c>
      <c r="AB33" s="135" t="str">
        <f t="shared" si="41"/>
        <v/>
      </c>
      <c r="AC33" s="136" t="str">
        <f t="shared" si="42"/>
        <v/>
      </c>
      <c r="AD33" s="135" t="str">
        <f t="shared" si="43"/>
        <v/>
      </c>
      <c r="AE33" s="136" t="str">
        <f t="shared" si="44"/>
        <v/>
      </c>
      <c r="AF33" s="137" t="str">
        <f t="shared" si="45"/>
        <v/>
      </c>
      <c r="AG33" s="138"/>
      <c r="AH33" s="119"/>
      <c r="AI33" s="127"/>
      <c r="AJ33" s="143"/>
      <c r="AK33" s="143"/>
      <c r="AL33" s="119"/>
      <c r="AM33" s="127"/>
    </row>
    <row r="34" spans="1:39" s="163" customFormat="1" ht="176.25" customHeight="1" x14ac:dyDescent="0.35">
      <c r="A34" s="369">
        <v>11</v>
      </c>
      <c r="B34" s="370" t="s">
        <v>237</v>
      </c>
      <c r="C34" s="373" t="s">
        <v>355</v>
      </c>
      <c r="D34" s="373" t="s">
        <v>383</v>
      </c>
      <c r="E34" s="345" t="s">
        <v>120</v>
      </c>
      <c r="F34" s="398" t="s">
        <v>367</v>
      </c>
      <c r="G34" s="398" t="s">
        <v>365</v>
      </c>
      <c r="H34" s="340" t="s">
        <v>238</v>
      </c>
      <c r="I34" s="345" t="s">
        <v>115</v>
      </c>
      <c r="J34" s="347">
        <v>20</v>
      </c>
      <c r="K34" s="349" t="str">
        <f>IF(J34&lt;=0,"",IF(J34&lt;=2,"Muy Baja",IF(J34&lt;=24,"Baja",IF(J34&lt;=500,"Media",IF(J34&lt;=5000,"Alta","Muy Alta")))))</f>
        <v>Baja</v>
      </c>
      <c r="L34" s="352">
        <f>IF(K34="","",IF(K34="Muy Baja",0.2,IF(K34="Baja",0.4,IF(K34="Media",0.6,IF(K34="Alta",0.8,IF(K34="Muy Alta",1,))))))</f>
        <v>0.4</v>
      </c>
      <c r="M34" s="355" t="s">
        <v>485</v>
      </c>
      <c r="N34" s="129"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49" t="str">
        <f>IF(OR(N34='Tabla Impacto'!$C$11,N34='Tabla Impacto'!$D$11),"Leve",IF(OR(N34='Tabla Impacto'!$C$12,N34='Tabla Impacto'!$D$12),"Menor",IF(OR(N34='Tabla Impacto'!$C$13,N34='Tabla Impacto'!$D$13),"Moderado",IF(OR(N34='Tabla Impacto'!$C$14,N34='Tabla Impacto'!$D$14),"Mayor",IF(OR(N34='Tabla Impacto'!$C$15,N34='Tabla Impacto'!$D$15),"Catastrófico","")))))</f>
        <v>Moderado</v>
      </c>
      <c r="P34" s="352">
        <f>IF(O34="","",IF(O34="Leve",0.2,IF(O34="Menor",0.4,IF(O34="Moderado",0.6,IF(O34="Mayor",0.8,IF(O34="Catastrófico",1,))))))</f>
        <v>0.6</v>
      </c>
      <c r="Q34" s="342"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130">
        <v>1</v>
      </c>
      <c r="S34" s="98" t="s">
        <v>542</v>
      </c>
      <c r="T34" s="131" t="str">
        <f t="shared" si="39"/>
        <v>Probabilidad</v>
      </c>
      <c r="U34" s="132" t="s">
        <v>14</v>
      </c>
      <c r="V34" s="132" t="s">
        <v>9</v>
      </c>
      <c r="W34" s="133" t="str">
        <f t="shared" si="40"/>
        <v>40%</v>
      </c>
      <c r="X34" s="132" t="s">
        <v>19</v>
      </c>
      <c r="Y34" s="132" t="s">
        <v>22</v>
      </c>
      <c r="Z34" s="132" t="s">
        <v>110</v>
      </c>
      <c r="AA34" s="134">
        <f t="shared" si="46"/>
        <v>0.24</v>
      </c>
      <c r="AB34" s="135" t="str">
        <f t="shared" si="41"/>
        <v>Baja</v>
      </c>
      <c r="AC34" s="136">
        <f t="shared" si="42"/>
        <v>0.24</v>
      </c>
      <c r="AD34" s="135" t="str">
        <f t="shared" si="43"/>
        <v>Moderado</v>
      </c>
      <c r="AE34" s="136">
        <f t="shared" si="44"/>
        <v>0.6</v>
      </c>
      <c r="AF34" s="137" t="str">
        <f t="shared" si="45"/>
        <v>Moderado</v>
      </c>
      <c r="AG34" s="138" t="s">
        <v>122</v>
      </c>
      <c r="AH34" s="119" t="s">
        <v>368</v>
      </c>
      <c r="AI34" s="127" t="s">
        <v>239</v>
      </c>
      <c r="AJ34" s="128">
        <v>44562</v>
      </c>
      <c r="AK34" s="128" t="s">
        <v>373</v>
      </c>
      <c r="AL34" s="119" t="s">
        <v>366</v>
      </c>
      <c r="AM34" s="140"/>
    </row>
    <row r="35" spans="1:39" s="163" customFormat="1" ht="151.5" customHeight="1" x14ac:dyDescent="0.35">
      <c r="A35" s="369"/>
      <c r="B35" s="371"/>
      <c r="C35" s="374"/>
      <c r="D35" s="374"/>
      <c r="E35" s="346"/>
      <c r="F35" s="346"/>
      <c r="G35" s="346"/>
      <c r="H35" s="341"/>
      <c r="I35" s="346"/>
      <c r="J35" s="348"/>
      <c r="K35" s="350"/>
      <c r="L35" s="353"/>
      <c r="M35" s="356"/>
      <c r="N35" s="142"/>
      <c r="O35" s="350"/>
      <c r="P35" s="353"/>
      <c r="Q35" s="343"/>
      <c r="R35" s="130">
        <v>2</v>
      </c>
      <c r="S35" s="98"/>
      <c r="T35" s="131" t="str">
        <f t="shared" si="39"/>
        <v/>
      </c>
      <c r="U35" s="132"/>
      <c r="V35" s="132"/>
      <c r="W35" s="133"/>
      <c r="X35" s="132"/>
      <c r="Y35" s="132"/>
      <c r="Z35" s="132"/>
      <c r="AA35" s="134" t="str">
        <f>IFERROR(IF(T35="Probabilidad",(AA34-(+AA34*W35)),IF(T35="Impacto",L35,"")),"")</f>
        <v/>
      </c>
      <c r="AB35" s="135" t="str">
        <f t="shared" si="41"/>
        <v/>
      </c>
      <c r="AC35" s="136" t="str">
        <f t="shared" si="42"/>
        <v/>
      </c>
      <c r="AD35" s="135" t="str">
        <f t="shared" si="43"/>
        <v/>
      </c>
      <c r="AE35" s="136" t="str">
        <f t="shared" si="44"/>
        <v/>
      </c>
      <c r="AF35" s="137" t="str">
        <f t="shared" si="45"/>
        <v/>
      </c>
      <c r="AG35" s="138"/>
      <c r="AH35" s="119"/>
      <c r="AI35" s="127"/>
      <c r="AJ35" s="143"/>
      <c r="AK35" s="143"/>
      <c r="AL35" s="119"/>
      <c r="AM35" s="140"/>
    </row>
    <row r="36" spans="1:39" s="163" customFormat="1" ht="151.5" customHeight="1" x14ac:dyDescent="0.35">
      <c r="A36" s="393"/>
      <c r="B36" s="372"/>
      <c r="C36" s="374"/>
      <c r="D36" s="374"/>
      <c r="E36" s="346"/>
      <c r="F36" s="346"/>
      <c r="G36" s="346"/>
      <c r="H36" s="341"/>
      <c r="I36" s="346"/>
      <c r="J36" s="348"/>
      <c r="K36" s="351"/>
      <c r="L36" s="354"/>
      <c r="M36" s="356"/>
      <c r="N36" s="142"/>
      <c r="O36" s="351"/>
      <c r="P36" s="354"/>
      <c r="Q36" s="344"/>
      <c r="R36" s="130">
        <v>3</v>
      </c>
      <c r="S36" s="98"/>
      <c r="T36" s="131" t="str">
        <f t="shared" si="39"/>
        <v/>
      </c>
      <c r="U36" s="132"/>
      <c r="V36" s="132"/>
      <c r="W36" s="133"/>
      <c r="X36" s="132"/>
      <c r="Y36" s="132"/>
      <c r="Z36" s="132"/>
      <c r="AA36" s="134" t="str">
        <f>IFERROR(IF(T36="Probabilidad",(AA35-(+AA35*W36)),IF(T36="Impacto",L36,"")),"")</f>
        <v/>
      </c>
      <c r="AB36" s="135" t="str">
        <f t="shared" si="41"/>
        <v/>
      </c>
      <c r="AC36" s="136" t="str">
        <f t="shared" si="42"/>
        <v/>
      </c>
      <c r="AD36" s="135" t="str">
        <f t="shared" si="43"/>
        <v/>
      </c>
      <c r="AE36" s="136" t="str">
        <f t="shared" si="44"/>
        <v/>
      </c>
      <c r="AF36" s="137" t="str">
        <f t="shared" si="45"/>
        <v/>
      </c>
      <c r="AG36" s="138"/>
      <c r="AH36" s="119"/>
      <c r="AI36" s="127"/>
      <c r="AJ36" s="143"/>
      <c r="AK36" s="143"/>
      <c r="AL36" s="119"/>
      <c r="AM36" s="140"/>
    </row>
    <row r="37" spans="1:39" s="163" customFormat="1" ht="183.75" customHeight="1" x14ac:dyDescent="0.35">
      <c r="A37" s="368">
        <v>12</v>
      </c>
      <c r="B37" s="370" t="s">
        <v>237</v>
      </c>
      <c r="C37" s="373" t="s">
        <v>355</v>
      </c>
      <c r="D37" s="373" t="s">
        <v>383</v>
      </c>
      <c r="E37" s="345" t="s">
        <v>120</v>
      </c>
      <c r="F37" s="346" t="s">
        <v>439</v>
      </c>
      <c r="G37" s="346" t="s">
        <v>440</v>
      </c>
      <c r="H37" s="340" t="s">
        <v>441</v>
      </c>
      <c r="I37" s="345" t="s">
        <v>328</v>
      </c>
      <c r="J37" s="347">
        <v>2</v>
      </c>
      <c r="K37" s="349" t="str">
        <f>IF(J37&lt;=0,"",IF(J37&lt;=2,"Muy Baja",IF(J37&lt;=24,"Baja",IF(J37&lt;=500,"Media",IF(J37&lt;=5000,"Alta","Muy Alta")))))</f>
        <v>Muy Baja</v>
      </c>
      <c r="L37" s="352">
        <f>IF(K37="","",IF(K37="Muy Baja",0.2,IF(K37="Baja",0.4,IF(K37="Media",0.6,IF(K37="Alta",0.8,IF(K37="Muy Alta",1,))))))</f>
        <v>0.2</v>
      </c>
      <c r="M37" s="355" t="s">
        <v>485</v>
      </c>
      <c r="N37" s="129"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49" t="str">
        <f>IF(OR(N37='Tabla Impacto'!$C$11,N37='Tabla Impacto'!$D$11),"Leve",IF(OR(N37='Tabla Impacto'!$C$12,N37='Tabla Impacto'!$D$12),"Menor",IF(OR(N37='Tabla Impacto'!$C$13,N37='Tabla Impacto'!$D$13),"Moderado",IF(OR(N37='Tabla Impacto'!$C$14,N37='Tabla Impacto'!$D$14),"Mayor",IF(OR(N37='Tabla Impacto'!$C$15,N37='Tabla Impacto'!$D$15),"Catastrófico","")))))</f>
        <v>Moderado</v>
      </c>
      <c r="P37" s="352">
        <f>IF(O37="","",IF(O37="Leve",0.2,IF(O37="Menor",0.4,IF(O37="Moderado",0.6,IF(O37="Mayor",0.8,IF(O37="Catastrófico",1,))))))</f>
        <v>0.6</v>
      </c>
      <c r="Q37" s="342"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30">
        <v>1</v>
      </c>
      <c r="S37" s="98" t="s">
        <v>369</v>
      </c>
      <c r="T37" s="131" t="str">
        <f t="shared" si="39"/>
        <v>Probabilidad</v>
      </c>
      <c r="U37" s="132" t="s">
        <v>14</v>
      </c>
      <c r="V37" s="132" t="s">
        <v>9</v>
      </c>
      <c r="W37" s="133" t="str">
        <f t="shared" si="40"/>
        <v>40%</v>
      </c>
      <c r="X37" s="132" t="s">
        <v>19</v>
      </c>
      <c r="Y37" s="132" t="s">
        <v>22</v>
      </c>
      <c r="Z37" s="132" t="s">
        <v>110</v>
      </c>
      <c r="AA37" s="134">
        <f t="shared" si="46"/>
        <v>0.12</v>
      </c>
      <c r="AB37" s="135" t="str">
        <f t="shared" si="41"/>
        <v>Muy Baja</v>
      </c>
      <c r="AC37" s="136">
        <f t="shared" si="42"/>
        <v>0.12</v>
      </c>
      <c r="AD37" s="135" t="str">
        <f t="shared" si="43"/>
        <v>Moderado</v>
      </c>
      <c r="AE37" s="136">
        <f t="shared" si="44"/>
        <v>0.6</v>
      </c>
      <c r="AF37" s="137" t="str">
        <f t="shared" si="45"/>
        <v>Moderado</v>
      </c>
      <c r="AG37" s="138" t="s">
        <v>122</v>
      </c>
      <c r="AH37" s="119" t="s">
        <v>370</v>
      </c>
      <c r="AI37" s="127" t="s">
        <v>239</v>
      </c>
      <c r="AJ37" s="128">
        <v>44562</v>
      </c>
      <c r="AK37" s="128" t="s">
        <v>373</v>
      </c>
      <c r="AL37" s="119" t="s">
        <v>371</v>
      </c>
      <c r="AM37" s="140"/>
    </row>
    <row r="38" spans="1:39" s="163" customFormat="1" ht="151.5" customHeight="1" x14ac:dyDescent="0.35">
      <c r="A38" s="369"/>
      <c r="B38" s="371"/>
      <c r="C38" s="374"/>
      <c r="D38" s="374"/>
      <c r="E38" s="346"/>
      <c r="F38" s="346" t="s">
        <v>240</v>
      </c>
      <c r="G38" s="346" t="s">
        <v>241</v>
      </c>
      <c r="H38" s="341"/>
      <c r="I38" s="346"/>
      <c r="J38" s="348"/>
      <c r="K38" s="350"/>
      <c r="L38" s="353"/>
      <c r="M38" s="356"/>
      <c r="N38" s="142"/>
      <c r="O38" s="350"/>
      <c r="P38" s="353"/>
      <c r="Q38" s="343"/>
      <c r="R38" s="130">
        <v>2</v>
      </c>
      <c r="S38" s="98"/>
      <c r="T38" s="131" t="str">
        <f t="shared" si="39"/>
        <v/>
      </c>
      <c r="U38" s="132"/>
      <c r="V38" s="132"/>
      <c r="W38" s="133"/>
      <c r="X38" s="132"/>
      <c r="Y38" s="132"/>
      <c r="Z38" s="132"/>
      <c r="AA38" s="134"/>
      <c r="AB38" s="135"/>
      <c r="AC38" s="136"/>
      <c r="AD38" s="135"/>
      <c r="AE38" s="136"/>
      <c r="AF38" s="137"/>
      <c r="AG38" s="138"/>
      <c r="AH38" s="119"/>
      <c r="AI38" s="127"/>
      <c r="AJ38" s="143"/>
      <c r="AK38" s="143"/>
      <c r="AL38" s="119"/>
      <c r="AM38" s="140"/>
    </row>
    <row r="39" spans="1:39" s="163" customFormat="1" ht="151.5" customHeight="1" x14ac:dyDescent="0.35">
      <c r="A39" s="369"/>
      <c r="B39" s="372"/>
      <c r="C39" s="374"/>
      <c r="D39" s="374"/>
      <c r="E39" s="346"/>
      <c r="F39" s="346" t="s">
        <v>240</v>
      </c>
      <c r="G39" s="346" t="s">
        <v>241</v>
      </c>
      <c r="H39" s="341"/>
      <c r="I39" s="346"/>
      <c r="J39" s="348"/>
      <c r="K39" s="351"/>
      <c r="L39" s="354"/>
      <c r="M39" s="356"/>
      <c r="N39" s="142"/>
      <c r="O39" s="351"/>
      <c r="P39" s="354"/>
      <c r="Q39" s="344"/>
      <c r="R39" s="130">
        <v>3</v>
      </c>
      <c r="S39" s="98"/>
      <c r="T39" s="131" t="str">
        <f t="shared" si="39"/>
        <v/>
      </c>
      <c r="U39" s="132"/>
      <c r="V39" s="132"/>
      <c r="W39" s="133"/>
      <c r="X39" s="132"/>
      <c r="Y39" s="132"/>
      <c r="Z39" s="132"/>
      <c r="AA39" s="134"/>
      <c r="AB39" s="135"/>
      <c r="AC39" s="136"/>
      <c r="AD39" s="135"/>
      <c r="AE39" s="136"/>
      <c r="AF39" s="137"/>
      <c r="AG39" s="138"/>
      <c r="AH39" s="119"/>
      <c r="AI39" s="127"/>
      <c r="AJ39" s="143"/>
      <c r="AK39" s="143"/>
      <c r="AL39" s="119"/>
      <c r="AM39" s="140"/>
    </row>
    <row r="40" spans="1:39" s="163" customFormat="1" ht="151.5" customHeight="1" x14ac:dyDescent="0.35">
      <c r="A40" s="369">
        <v>13</v>
      </c>
      <c r="B40" s="370" t="s">
        <v>242</v>
      </c>
      <c r="C40" s="373" t="s">
        <v>385</v>
      </c>
      <c r="D40" s="373" t="s">
        <v>249</v>
      </c>
      <c r="E40" s="345" t="s">
        <v>120</v>
      </c>
      <c r="F40" s="398" t="s">
        <v>243</v>
      </c>
      <c r="G40" s="398" t="s">
        <v>244</v>
      </c>
      <c r="H40" s="340" t="s">
        <v>384</v>
      </c>
      <c r="I40" s="345" t="s">
        <v>328</v>
      </c>
      <c r="J40" s="347">
        <v>12</v>
      </c>
      <c r="K40" s="349" t="str">
        <f>IF(J40&lt;=0,"",IF(J40&lt;=2,"Muy Baja",IF(J40&lt;=24,"Baja",IF(J40&lt;=500,"Media",IF(J40&lt;=5000,"Alta","Muy Alta")))))</f>
        <v>Baja</v>
      </c>
      <c r="L40" s="352">
        <f>IF(K40="","",IF(K40="Muy Baja",0.2,IF(K40="Baja",0.4,IF(K40="Media",0.6,IF(K40="Alta",0.8,IF(K40="Muy Alta",1,))))))</f>
        <v>0.4</v>
      </c>
      <c r="M40" s="355" t="s">
        <v>485</v>
      </c>
      <c r="N40" s="129"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49" t="str">
        <f>IF(OR(N40='Tabla Impacto'!$C$11,N40='Tabla Impacto'!$D$11),"Leve",IF(OR(N40='Tabla Impacto'!$C$12,N40='Tabla Impacto'!$D$12),"Menor",IF(OR(N40='Tabla Impacto'!$C$13,N40='Tabla Impacto'!$D$13),"Moderado",IF(OR(N40='Tabla Impacto'!$C$14,N40='Tabla Impacto'!$D$14),"Mayor",IF(OR(N40='Tabla Impacto'!$C$15,N40='Tabla Impacto'!$D$15),"Catastrófico","")))))</f>
        <v>Moderado</v>
      </c>
      <c r="P40" s="352">
        <f>IF(O40="","",IF(O40="Leve",0.2,IF(O40="Menor",0.4,IF(O40="Moderado",0.6,IF(O40="Mayor",0.8,IF(O40="Catastrófico",1,))))))</f>
        <v>0.6</v>
      </c>
      <c r="Q40" s="342"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30">
        <v>1</v>
      </c>
      <c r="S40" s="98" t="s">
        <v>245</v>
      </c>
      <c r="T40" s="131" t="str">
        <f t="shared" si="39"/>
        <v>Probabilidad</v>
      </c>
      <c r="U40" s="132" t="s">
        <v>14</v>
      </c>
      <c r="V40" s="132" t="s">
        <v>9</v>
      </c>
      <c r="W40" s="133" t="str">
        <f t="shared" si="40"/>
        <v>40%</v>
      </c>
      <c r="X40" s="132" t="s">
        <v>19</v>
      </c>
      <c r="Y40" s="132" t="s">
        <v>22</v>
      </c>
      <c r="Z40" s="132" t="s">
        <v>110</v>
      </c>
      <c r="AA40" s="134">
        <f t="shared" si="46"/>
        <v>0.24</v>
      </c>
      <c r="AB40" s="135" t="str">
        <f t="shared" si="41"/>
        <v>Baja</v>
      </c>
      <c r="AC40" s="136">
        <f t="shared" si="42"/>
        <v>0.24</v>
      </c>
      <c r="AD40" s="135" t="str">
        <f t="shared" si="43"/>
        <v>Moderado</v>
      </c>
      <c r="AE40" s="136">
        <f t="shared" si="44"/>
        <v>0.6</v>
      </c>
      <c r="AF40" s="137" t="str">
        <f t="shared" si="45"/>
        <v>Moderado</v>
      </c>
      <c r="AG40" s="138" t="s">
        <v>122</v>
      </c>
      <c r="AH40" s="119" t="s">
        <v>246</v>
      </c>
      <c r="AI40" s="127" t="s">
        <v>203</v>
      </c>
      <c r="AJ40" s="143">
        <v>44562</v>
      </c>
      <c r="AK40" s="143">
        <v>44926</v>
      </c>
      <c r="AL40" s="119" t="s">
        <v>247</v>
      </c>
      <c r="AM40" s="140"/>
    </row>
    <row r="41" spans="1:39" s="163" customFormat="1" ht="151.5" customHeight="1" x14ac:dyDescent="0.35">
      <c r="A41" s="369"/>
      <c r="B41" s="371"/>
      <c r="C41" s="374"/>
      <c r="D41" s="375"/>
      <c r="E41" s="346"/>
      <c r="F41" s="346"/>
      <c r="G41" s="346"/>
      <c r="H41" s="341"/>
      <c r="I41" s="346"/>
      <c r="J41" s="348"/>
      <c r="K41" s="350"/>
      <c r="L41" s="353"/>
      <c r="M41" s="356"/>
      <c r="N41" s="142"/>
      <c r="O41" s="350"/>
      <c r="P41" s="353"/>
      <c r="Q41" s="343"/>
      <c r="R41" s="130">
        <v>2</v>
      </c>
      <c r="S41" s="98" t="s">
        <v>205</v>
      </c>
      <c r="T41" s="131" t="str">
        <f t="shared" si="39"/>
        <v>Probabilidad</v>
      </c>
      <c r="U41" s="132" t="s">
        <v>14</v>
      </c>
      <c r="V41" s="132" t="s">
        <v>9</v>
      </c>
      <c r="W41" s="133" t="str">
        <f t="shared" si="40"/>
        <v>40%</v>
      </c>
      <c r="X41" s="132" t="s">
        <v>19</v>
      </c>
      <c r="Y41" s="132" t="s">
        <v>22</v>
      </c>
      <c r="Z41" s="132" t="s">
        <v>110</v>
      </c>
      <c r="AA41" s="154">
        <f>IFERROR(IF(T41="Probabilidad",(AA40-(+AA40*W41)),IF(T41="Impacto",L41,"")),"")</f>
        <v>0.14399999999999999</v>
      </c>
      <c r="AB41" s="135" t="str">
        <f t="shared" si="41"/>
        <v>Muy Baja</v>
      </c>
      <c r="AC41" s="136">
        <f t="shared" si="42"/>
        <v>0.14399999999999999</v>
      </c>
      <c r="AD41" s="135" t="str">
        <f t="shared" si="43"/>
        <v>Moderado</v>
      </c>
      <c r="AE41" s="136">
        <v>0.6</v>
      </c>
      <c r="AF41" s="137" t="str">
        <f t="shared" si="45"/>
        <v>Moderado</v>
      </c>
      <c r="AG41" s="138" t="s">
        <v>122</v>
      </c>
      <c r="AH41" s="119" t="s">
        <v>248</v>
      </c>
      <c r="AI41" s="127" t="s">
        <v>203</v>
      </c>
      <c r="AJ41" s="143">
        <v>44562</v>
      </c>
      <c r="AK41" s="143">
        <v>44926</v>
      </c>
      <c r="AL41" s="119" t="s">
        <v>247</v>
      </c>
      <c r="AM41" s="140"/>
    </row>
    <row r="42" spans="1:39" s="163" customFormat="1" ht="151.5" customHeight="1" x14ac:dyDescent="0.35">
      <c r="A42" s="369"/>
      <c r="B42" s="372"/>
      <c r="C42" s="374"/>
      <c r="D42" s="375"/>
      <c r="E42" s="346"/>
      <c r="F42" s="346"/>
      <c r="G42" s="346"/>
      <c r="H42" s="341"/>
      <c r="I42" s="346"/>
      <c r="J42" s="348"/>
      <c r="K42" s="351"/>
      <c r="L42" s="354"/>
      <c r="M42" s="356"/>
      <c r="N42" s="142"/>
      <c r="O42" s="351"/>
      <c r="P42" s="354"/>
      <c r="Q42" s="344"/>
      <c r="R42" s="130">
        <v>3</v>
      </c>
      <c r="S42" s="98"/>
      <c r="T42" s="131" t="str">
        <f t="shared" si="39"/>
        <v/>
      </c>
      <c r="U42" s="132"/>
      <c r="V42" s="132"/>
      <c r="W42" s="133"/>
      <c r="X42" s="132"/>
      <c r="Y42" s="132"/>
      <c r="Z42" s="132"/>
      <c r="AA42" s="134" t="str">
        <f>IFERROR(IF(T42="Probabilidad",(AA41-(+AA41*W42)),IF(T42="Impacto",L42,"")),"")</f>
        <v/>
      </c>
      <c r="AB42" s="135" t="str">
        <f t="shared" si="41"/>
        <v/>
      </c>
      <c r="AC42" s="136" t="str">
        <f t="shared" si="42"/>
        <v/>
      </c>
      <c r="AD42" s="135" t="str">
        <f t="shared" si="43"/>
        <v/>
      </c>
      <c r="AE42" s="136" t="str">
        <f t="shared" si="44"/>
        <v/>
      </c>
      <c r="AF42" s="137" t="str">
        <f t="shared" si="45"/>
        <v/>
      </c>
      <c r="AG42" s="138"/>
      <c r="AH42" s="119"/>
      <c r="AI42" s="127"/>
      <c r="AJ42" s="143"/>
      <c r="AK42" s="143"/>
      <c r="AL42" s="119"/>
      <c r="AM42" s="140"/>
    </row>
    <row r="43" spans="1:39" s="163" customFormat="1" ht="151.5" customHeight="1" x14ac:dyDescent="0.35">
      <c r="A43" s="369">
        <v>14</v>
      </c>
      <c r="B43" s="370" t="s">
        <v>242</v>
      </c>
      <c r="C43" s="373" t="s">
        <v>385</v>
      </c>
      <c r="D43" s="373" t="s">
        <v>249</v>
      </c>
      <c r="E43" s="345" t="s">
        <v>120</v>
      </c>
      <c r="F43" s="345" t="s">
        <v>250</v>
      </c>
      <c r="G43" s="398" t="s">
        <v>251</v>
      </c>
      <c r="H43" s="340" t="s">
        <v>252</v>
      </c>
      <c r="I43" s="345" t="s">
        <v>328</v>
      </c>
      <c r="J43" s="347">
        <v>900</v>
      </c>
      <c r="K43" s="349" t="str">
        <f>IF(J43&lt;=0,"",IF(J43&lt;=2,"Muy Baja",IF(J43&lt;=24,"Baja",IF(J43&lt;=500,"Media",IF(J43&lt;=5000,"Alta","Muy Alta")))))</f>
        <v>Alta</v>
      </c>
      <c r="L43" s="352">
        <f>IF(K43="","",IF(K43="Muy Baja",0.2,IF(K43="Baja",0.4,IF(K43="Media",0.6,IF(K43="Alta",0.8,IF(K43="Muy Alta",1,))))))</f>
        <v>0.8</v>
      </c>
      <c r="M43" s="355" t="s">
        <v>485</v>
      </c>
      <c r="N43" s="129"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49" t="str">
        <f>IF(OR(N43='Tabla Impacto'!$C$11,N43='Tabla Impacto'!$D$11),"Leve",IF(OR(N43='Tabla Impacto'!$C$12,N43='Tabla Impacto'!$D$12),"Menor",IF(OR(N43='Tabla Impacto'!$C$13,N43='Tabla Impacto'!$D$13),"Moderado",IF(OR(N43='Tabla Impacto'!$C$14,N43='Tabla Impacto'!$D$14),"Mayor",IF(OR(N43='Tabla Impacto'!$C$15,N43='Tabla Impacto'!$D$15),"Catastrófico","")))))</f>
        <v>Moderado</v>
      </c>
      <c r="P43" s="352">
        <f>IF(O43="","",IF(O43="Leve",0.2,IF(O43="Menor",0.4,IF(O43="Moderado",0.6,IF(O43="Mayor",0.8,IF(O43="Catastrófico",1,))))))</f>
        <v>0.6</v>
      </c>
      <c r="Q43" s="342"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Alto</v>
      </c>
      <c r="R43" s="130">
        <v>1</v>
      </c>
      <c r="S43" s="98" t="s">
        <v>253</v>
      </c>
      <c r="T43" s="131" t="str">
        <f t="shared" ref="T43:T45" si="47">IF(OR(U43="Preventivo",U43="Detectivo"),"Probabilidad",IF(U43="Correctivo","Impacto",""))</f>
        <v>Probabilidad</v>
      </c>
      <c r="U43" s="132" t="s">
        <v>14</v>
      </c>
      <c r="V43" s="132" t="s">
        <v>9</v>
      </c>
      <c r="W43" s="133" t="str">
        <f t="shared" ref="W43" si="48">IF(AND(U43="Preventivo",V43="Automático"),"50%",IF(AND(U43="Preventivo",V43="Manual"),"40%",IF(AND(U43="Detectivo",V43="Automático"),"40%",IF(AND(U43="Detectivo",V43="Manual"),"30%",IF(AND(U43="Correctivo",V43="Automático"),"35%",IF(AND(U43="Correctivo",V43="Manual"),"25%",""))))))</f>
        <v>40%</v>
      </c>
      <c r="X43" s="132" t="s">
        <v>19</v>
      </c>
      <c r="Y43" s="132" t="s">
        <v>22</v>
      </c>
      <c r="Z43" s="132" t="s">
        <v>110</v>
      </c>
      <c r="AA43" s="134">
        <f t="shared" ref="AA43" si="49">IFERROR(IF(T43="Probabilidad",(L43-(+L43*W43)),IF(T43="Impacto",L43,"")),"")</f>
        <v>0.48</v>
      </c>
      <c r="AB43" s="135" t="str">
        <f t="shared" ref="AB43:AB45" si="50">IFERROR(IF(AA43="","",IF(AA43&lt;=0.2,"Muy Baja",IF(AA43&lt;=0.4,"Baja",IF(AA43&lt;=0.6,"Media",IF(AA43&lt;=0.8,"Alta","Muy Alta"))))),"")</f>
        <v>Media</v>
      </c>
      <c r="AC43" s="136">
        <f t="shared" ref="AC43:AC45" si="51">+AA43</f>
        <v>0.48</v>
      </c>
      <c r="AD43" s="135" t="str">
        <f t="shared" ref="AD43:AD45" si="52">IFERROR(IF(AE43="","",IF(AE43&lt;=0.2,"Leve",IF(AE43&lt;=0.4,"Menor",IF(AE43&lt;=0.6,"Moderado",IF(AE43&lt;=0.8,"Mayor","Catastrófico"))))),"")</f>
        <v>Moderado</v>
      </c>
      <c r="AE43" s="136">
        <f t="shared" ref="AE43:AE45" si="53">IFERROR(IF(T43="Impacto",(P43-(+P43*W43)),IF(T43="Probabilidad",P43,"")),"")</f>
        <v>0.6</v>
      </c>
      <c r="AF43" s="137" t="str">
        <f t="shared" ref="AF43:AF45" si="54">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Moderado</v>
      </c>
      <c r="AG43" s="138" t="s">
        <v>122</v>
      </c>
      <c r="AH43" s="119" t="s">
        <v>254</v>
      </c>
      <c r="AI43" s="127" t="s">
        <v>203</v>
      </c>
      <c r="AJ43" s="143">
        <v>44562</v>
      </c>
      <c r="AK43" s="143">
        <v>44926</v>
      </c>
      <c r="AL43" s="119" t="s">
        <v>255</v>
      </c>
      <c r="AM43" s="140"/>
    </row>
    <row r="44" spans="1:39" s="163" customFormat="1" ht="151.5" customHeight="1" x14ac:dyDescent="0.35">
      <c r="A44" s="369"/>
      <c r="B44" s="371"/>
      <c r="C44" s="374"/>
      <c r="D44" s="375"/>
      <c r="E44" s="346"/>
      <c r="F44" s="346"/>
      <c r="G44" s="346"/>
      <c r="H44" s="341"/>
      <c r="I44" s="346"/>
      <c r="J44" s="348"/>
      <c r="K44" s="350"/>
      <c r="L44" s="353"/>
      <c r="M44" s="356"/>
      <c r="N44" s="142"/>
      <c r="O44" s="350"/>
      <c r="P44" s="353"/>
      <c r="Q44" s="343"/>
      <c r="R44" s="130">
        <v>2</v>
      </c>
      <c r="S44" s="98"/>
      <c r="T44" s="131" t="str">
        <f t="shared" si="47"/>
        <v/>
      </c>
      <c r="U44" s="132"/>
      <c r="V44" s="132"/>
      <c r="W44" s="133"/>
      <c r="X44" s="132"/>
      <c r="Y44" s="132"/>
      <c r="Z44" s="132"/>
      <c r="AA44" s="134" t="str">
        <f>IFERROR(IF(T44="Probabilidad",(AA43-(+AA43*W44)),IF(T44="Impacto",L44,"")),"")</f>
        <v/>
      </c>
      <c r="AB44" s="135" t="str">
        <f t="shared" si="50"/>
        <v/>
      </c>
      <c r="AC44" s="136" t="str">
        <f t="shared" si="51"/>
        <v/>
      </c>
      <c r="AD44" s="135" t="str">
        <f t="shared" si="52"/>
        <v/>
      </c>
      <c r="AE44" s="136" t="str">
        <f t="shared" si="53"/>
        <v/>
      </c>
      <c r="AF44" s="137" t="str">
        <f t="shared" si="54"/>
        <v/>
      </c>
      <c r="AG44" s="138"/>
      <c r="AH44" s="119"/>
      <c r="AI44" s="127"/>
      <c r="AJ44" s="143"/>
      <c r="AK44" s="143"/>
      <c r="AL44" s="119"/>
      <c r="AM44" s="140"/>
    </row>
    <row r="45" spans="1:39" s="163" customFormat="1" ht="151.5" customHeight="1" x14ac:dyDescent="0.35">
      <c r="A45" s="369"/>
      <c r="B45" s="372"/>
      <c r="C45" s="374"/>
      <c r="D45" s="375"/>
      <c r="E45" s="346"/>
      <c r="F45" s="346"/>
      <c r="G45" s="346"/>
      <c r="H45" s="341"/>
      <c r="I45" s="346"/>
      <c r="J45" s="348"/>
      <c r="K45" s="351"/>
      <c r="L45" s="354"/>
      <c r="M45" s="356"/>
      <c r="N45" s="142"/>
      <c r="O45" s="351"/>
      <c r="P45" s="354"/>
      <c r="Q45" s="344"/>
      <c r="R45" s="130">
        <v>3</v>
      </c>
      <c r="S45" s="98"/>
      <c r="T45" s="131" t="str">
        <f t="shared" si="47"/>
        <v/>
      </c>
      <c r="U45" s="132"/>
      <c r="V45" s="132"/>
      <c r="W45" s="133"/>
      <c r="X45" s="132"/>
      <c r="Y45" s="132"/>
      <c r="Z45" s="132"/>
      <c r="AA45" s="134" t="str">
        <f>IFERROR(IF(T45="Probabilidad",(AA44-(+AA44*W45)),IF(T45="Impacto",L45,"")),"")</f>
        <v/>
      </c>
      <c r="AB45" s="135" t="str">
        <f t="shared" si="50"/>
        <v/>
      </c>
      <c r="AC45" s="136" t="str">
        <f t="shared" si="51"/>
        <v/>
      </c>
      <c r="AD45" s="135" t="str">
        <f t="shared" si="52"/>
        <v/>
      </c>
      <c r="AE45" s="136" t="str">
        <f t="shared" si="53"/>
        <v/>
      </c>
      <c r="AF45" s="137" t="str">
        <f t="shared" si="54"/>
        <v/>
      </c>
      <c r="AG45" s="138"/>
      <c r="AH45" s="119"/>
      <c r="AI45" s="127"/>
      <c r="AJ45" s="143"/>
      <c r="AK45" s="143"/>
      <c r="AL45" s="119"/>
      <c r="AM45" s="140"/>
    </row>
    <row r="46" spans="1:39" s="163" customFormat="1" ht="151.5" customHeight="1" x14ac:dyDescent="0.35">
      <c r="A46" s="369">
        <v>15</v>
      </c>
      <c r="B46" s="401" t="s">
        <v>242</v>
      </c>
      <c r="C46" s="373" t="s">
        <v>385</v>
      </c>
      <c r="D46" s="373" t="s">
        <v>249</v>
      </c>
      <c r="E46" s="345" t="s">
        <v>118</v>
      </c>
      <c r="F46" s="345" t="s">
        <v>256</v>
      </c>
      <c r="G46" s="345" t="s">
        <v>257</v>
      </c>
      <c r="H46" s="340" t="s">
        <v>546</v>
      </c>
      <c r="I46" s="345" t="s">
        <v>115</v>
      </c>
      <c r="J46" s="399">
        <v>40</v>
      </c>
      <c r="K46" s="349" t="str">
        <f>IF(J46&lt;=0,"",IF(J46&lt;=2,"Muy Baja",IF(J46&lt;=24,"Baja",IF(J46&lt;=500,"Media",IF(J46&lt;=5000,"Alta","Muy Alta")))))</f>
        <v>Media</v>
      </c>
      <c r="L46" s="352">
        <f>IF(K46="","",IF(K46="Muy Baja",0.2,IF(K46="Baja",0.4,IF(K46="Media",0.6,IF(K46="Alta",0.8,IF(K46="Muy Alta",1,))))))</f>
        <v>0.6</v>
      </c>
      <c r="M46" s="355" t="s">
        <v>485</v>
      </c>
      <c r="N46" s="129"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49" t="str">
        <f>IF(OR(N46='Tabla Impacto'!$C$11,N46='Tabla Impacto'!$D$11),"Leve",IF(OR(N46='Tabla Impacto'!$C$12,N46='Tabla Impacto'!$D$12),"Menor",IF(OR(N46='Tabla Impacto'!$C$13,N46='Tabla Impacto'!$D$13),"Moderado",IF(OR(N46='Tabla Impacto'!$C$14,N46='Tabla Impacto'!$D$14),"Mayor",IF(OR(N46='Tabla Impacto'!$C$15,N46='Tabla Impacto'!$D$15),"Catastrófico","")))))</f>
        <v>Moderado</v>
      </c>
      <c r="P46" s="352">
        <f>IF(O46="","",IF(O46="Leve",0.2,IF(O46="Menor",0.4,IF(O46="Moderado",0.6,IF(O46="Mayor",0.8,IF(O46="Catastrófico",1,))))))</f>
        <v>0.6</v>
      </c>
      <c r="Q46" s="342"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30">
        <v>1</v>
      </c>
      <c r="S46" s="98" t="s">
        <v>547</v>
      </c>
      <c r="T46" s="131" t="str">
        <f t="shared" si="25"/>
        <v>Probabilidad</v>
      </c>
      <c r="U46" s="132" t="s">
        <v>14</v>
      </c>
      <c r="V46" s="132" t="s">
        <v>9</v>
      </c>
      <c r="W46" s="133" t="str">
        <f t="shared" si="26"/>
        <v>40%</v>
      </c>
      <c r="X46" s="132" t="s">
        <v>19</v>
      </c>
      <c r="Y46" s="132" t="s">
        <v>22</v>
      </c>
      <c r="Z46" s="132" t="s">
        <v>110</v>
      </c>
      <c r="AA46" s="134">
        <f t="shared" si="27"/>
        <v>0.36</v>
      </c>
      <c r="AB46" s="135" t="str">
        <f t="shared" si="28"/>
        <v>Baja</v>
      </c>
      <c r="AC46" s="136">
        <f t="shared" si="29"/>
        <v>0.36</v>
      </c>
      <c r="AD46" s="135" t="str">
        <f t="shared" si="30"/>
        <v>Moderado</v>
      </c>
      <c r="AE46" s="136">
        <f t="shared" si="31"/>
        <v>0.6</v>
      </c>
      <c r="AF46" s="137" t="str">
        <f t="shared" si="32"/>
        <v>Moderado</v>
      </c>
      <c r="AG46" s="138" t="s">
        <v>122</v>
      </c>
      <c r="AH46" s="126" t="s">
        <v>259</v>
      </c>
      <c r="AI46" s="127" t="s">
        <v>260</v>
      </c>
      <c r="AJ46" s="143">
        <v>44562</v>
      </c>
      <c r="AK46" s="143">
        <v>44926</v>
      </c>
      <c r="AL46" s="119" t="s">
        <v>255</v>
      </c>
      <c r="AM46" s="140"/>
    </row>
    <row r="47" spans="1:39" s="163" customFormat="1" ht="151.5" customHeight="1" x14ac:dyDescent="0.35">
      <c r="A47" s="369"/>
      <c r="B47" s="402"/>
      <c r="C47" s="374"/>
      <c r="D47" s="375"/>
      <c r="E47" s="346"/>
      <c r="F47" s="346"/>
      <c r="G47" s="346"/>
      <c r="H47" s="341"/>
      <c r="I47" s="346"/>
      <c r="J47" s="400"/>
      <c r="K47" s="350"/>
      <c r="L47" s="353"/>
      <c r="M47" s="356"/>
      <c r="N47" s="142"/>
      <c r="O47" s="350"/>
      <c r="P47" s="353"/>
      <c r="Q47" s="343"/>
      <c r="R47" s="130">
        <v>2</v>
      </c>
      <c r="S47" s="98"/>
      <c r="T47" s="131" t="str">
        <f t="shared" ref="T47:T48" si="55">IF(OR(U47="Preventivo",U47="Detectivo"),"Probabilidad",IF(U47="Correctivo","Impacto",""))</f>
        <v/>
      </c>
      <c r="U47" s="132"/>
      <c r="V47" s="132"/>
      <c r="W47" s="133"/>
      <c r="X47" s="132"/>
      <c r="Y47" s="132"/>
      <c r="Z47" s="132"/>
      <c r="AA47" s="134" t="str">
        <f>IFERROR(IF(T47="Probabilidad",(AA46-(+AA46*W47)),IF(T47="Impacto",L47,"")),"")</f>
        <v/>
      </c>
      <c r="AB47" s="135" t="str">
        <f t="shared" ref="AB47:AB48" si="56">IFERROR(IF(AA47="","",IF(AA47&lt;=0.2,"Muy Baja",IF(AA47&lt;=0.4,"Baja",IF(AA47&lt;=0.6,"Media",IF(AA47&lt;=0.8,"Alta","Muy Alta"))))),"")</f>
        <v/>
      </c>
      <c r="AC47" s="136" t="str">
        <f t="shared" ref="AC47:AC48" si="57">+AA47</f>
        <v/>
      </c>
      <c r="AD47" s="135" t="str">
        <f t="shared" ref="AD47:AD48" si="58">IFERROR(IF(AE47="","",IF(AE47&lt;=0.2,"Leve",IF(AE47&lt;=0.4,"Menor",IF(AE47&lt;=0.6,"Moderado",IF(AE47&lt;=0.8,"Mayor","Catastrófico"))))),"")</f>
        <v/>
      </c>
      <c r="AE47" s="136" t="str">
        <f t="shared" ref="AE47:AE48" si="59">IFERROR(IF(T47="Impacto",(P47-(+P47*W47)),IF(T47="Probabilidad",P47,"")),"")</f>
        <v/>
      </c>
      <c r="AF47" s="137" t="str">
        <f t="shared" ref="AF47:AF48" si="60">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38"/>
      <c r="AH47" s="119"/>
      <c r="AI47" s="127"/>
      <c r="AJ47" s="143"/>
      <c r="AK47" s="143"/>
      <c r="AL47" s="119"/>
      <c r="AM47" s="140"/>
    </row>
    <row r="48" spans="1:39" s="163" customFormat="1" ht="151.5" customHeight="1" x14ac:dyDescent="0.35">
      <c r="A48" s="369"/>
      <c r="B48" s="403"/>
      <c r="C48" s="374"/>
      <c r="D48" s="375"/>
      <c r="E48" s="346"/>
      <c r="F48" s="346"/>
      <c r="G48" s="346"/>
      <c r="H48" s="341"/>
      <c r="I48" s="346"/>
      <c r="J48" s="400"/>
      <c r="K48" s="351"/>
      <c r="L48" s="354"/>
      <c r="M48" s="356"/>
      <c r="N48" s="142"/>
      <c r="O48" s="351"/>
      <c r="P48" s="354"/>
      <c r="Q48" s="344"/>
      <c r="R48" s="130">
        <v>3</v>
      </c>
      <c r="S48" s="98"/>
      <c r="T48" s="131" t="str">
        <f t="shared" si="55"/>
        <v/>
      </c>
      <c r="U48" s="132"/>
      <c r="V48" s="132"/>
      <c r="W48" s="133"/>
      <c r="X48" s="132"/>
      <c r="Y48" s="132"/>
      <c r="Z48" s="132"/>
      <c r="AA48" s="134" t="str">
        <f>IFERROR(IF(T48="Probabilidad",(AA47-(+AA47*W48)),IF(T48="Impacto",L48,"")),"")</f>
        <v/>
      </c>
      <c r="AB48" s="135" t="str">
        <f t="shared" si="56"/>
        <v/>
      </c>
      <c r="AC48" s="136" t="str">
        <f t="shared" si="57"/>
        <v/>
      </c>
      <c r="AD48" s="135" t="str">
        <f t="shared" si="58"/>
        <v/>
      </c>
      <c r="AE48" s="136" t="str">
        <f t="shared" si="59"/>
        <v/>
      </c>
      <c r="AF48" s="137" t="str">
        <f t="shared" si="60"/>
        <v/>
      </c>
      <c r="AG48" s="138"/>
      <c r="AH48" s="119"/>
      <c r="AI48" s="127"/>
      <c r="AJ48" s="143"/>
      <c r="AK48" s="143"/>
      <c r="AL48" s="119"/>
      <c r="AM48" s="140"/>
    </row>
    <row r="49" spans="1:39" s="163" customFormat="1" ht="151.5" customHeight="1" x14ac:dyDescent="0.35">
      <c r="A49" s="369">
        <v>16</v>
      </c>
      <c r="B49" s="370" t="s">
        <v>242</v>
      </c>
      <c r="C49" s="373" t="s">
        <v>385</v>
      </c>
      <c r="D49" s="373" t="s">
        <v>249</v>
      </c>
      <c r="E49" s="345" t="s">
        <v>120</v>
      </c>
      <c r="F49" s="345" t="s">
        <v>442</v>
      </c>
      <c r="G49" s="345" t="s">
        <v>262</v>
      </c>
      <c r="H49" s="340" t="s">
        <v>261</v>
      </c>
      <c r="I49" s="345" t="s">
        <v>328</v>
      </c>
      <c r="J49" s="347" t="s">
        <v>258</v>
      </c>
      <c r="K49" s="349" t="str">
        <f>IF(J49&lt;=0,"",IF(J49&lt;=2,"Muy Baja",IF(J49&lt;=24,"Baja",IF(J49&lt;=500,"Media",IF(J49&lt;=5000,"Alta","Muy Alta")))))</f>
        <v>Muy Alta</v>
      </c>
      <c r="L49" s="352">
        <f>IF(K49="","",IF(K49="Muy Baja",0.2,IF(K49="Baja",0.4,IF(K49="Media",0.6,IF(K49="Alta",0.8,IF(K49="Muy Alta",1,))))))</f>
        <v>1</v>
      </c>
      <c r="M49" s="355" t="s">
        <v>492</v>
      </c>
      <c r="N49" s="129" t="str">
        <f>IF(NOT(ISERROR(MATCH(M49,'Tabla Impacto'!$B$221:$B$223,0))),'Tabla Impacto'!$F$223&amp;"Por favor no seleccionar los criterios de impacto(Afectación Económica o presupuestal y Pérdida Reputacional)",M49)</f>
        <v xml:space="preserve"> El riesgo afecta la imagen de la entidad con efecto publicitario sostenido a nivel de sector administrativo, nivel departamental o municipal</v>
      </c>
      <c r="O49" s="349" t="str">
        <f>IF(OR(N49='Tabla Impacto'!$C$11,N49='Tabla Impacto'!$D$11),"Leve",IF(OR(N49='Tabla Impacto'!$C$12,N49='Tabla Impacto'!$D$12),"Menor",IF(OR(N49='Tabla Impacto'!$C$13,N49='Tabla Impacto'!$D$13),"Moderado",IF(OR(N49='Tabla Impacto'!$C$14,N49='Tabla Impacto'!$D$14),"Mayor",IF(OR(N49='Tabla Impacto'!$C$15,N49='Tabla Impacto'!$D$15),"Catastrófico","")))))</f>
        <v>Mayor</v>
      </c>
      <c r="P49" s="352">
        <f>IF(O49="","",IF(O49="Leve",0.2,IF(O49="Menor",0.4,IF(O49="Moderado",0.6,IF(O49="Mayor",0.8,IF(O49="Catastrófico",1,))))))</f>
        <v>0.8</v>
      </c>
      <c r="Q49" s="342"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30">
        <v>1</v>
      </c>
      <c r="S49" s="98" t="s">
        <v>263</v>
      </c>
      <c r="T49" s="131" t="str">
        <f t="shared" ref="T49:T51" si="61">IF(OR(U49="Preventivo",U49="Detectivo"),"Probabilidad",IF(U49="Correctivo","Impacto",""))</f>
        <v>Probabilidad</v>
      </c>
      <c r="U49" s="132" t="s">
        <v>14</v>
      </c>
      <c r="V49" s="132" t="s">
        <v>9</v>
      </c>
      <c r="W49" s="133" t="str">
        <f t="shared" ref="W49" si="62">IF(AND(U49="Preventivo",V49="Automático"),"50%",IF(AND(U49="Preventivo",V49="Manual"),"40%",IF(AND(U49="Detectivo",V49="Automático"),"40%",IF(AND(U49="Detectivo",V49="Manual"),"30%",IF(AND(U49="Correctivo",V49="Automático"),"35%",IF(AND(U49="Correctivo",V49="Manual"),"25%",""))))))</f>
        <v>40%</v>
      </c>
      <c r="X49" s="132" t="s">
        <v>19</v>
      </c>
      <c r="Y49" s="132" t="s">
        <v>22</v>
      </c>
      <c r="Z49" s="132" t="s">
        <v>110</v>
      </c>
      <c r="AA49" s="134">
        <f t="shared" ref="AA49" si="63">IFERROR(IF(T49="Probabilidad",(L49-(+L49*W49)),IF(T49="Impacto",L49,"")),"")</f>
        <v>0.6</v>
      </c>
      <c r="AB49" s="135" t="str">
        <f t="shared" ref="AB49:AB51" si="64">IFERROR(IF(AA49="","",IF(AA49&lt;=0.2,"Muy Baja",IF(AA49&lt;=0.4,"Baja",IF(AA49&lt;=0.6,"Media",IF(AA49&lt;=0.8,"Alta","Muy Alta"))))),"")</f>
        <v>Media</v>
      </c>
      <c r="AC49" s="136">
        <f t="shared" ref="AC49:AC51" si="65">+AA49</f>
        <v>0.6</v>
      </c>
      <c r="AD49" s="135" t="str">
        <f t="shared" ref="AD49:AD51" si="66">IFERROR(IF(AE49="","",IF(AE49&lt;=0.2,"Leve",IF(AE49&lt;=0.4,"Menor",IF(AE49&lt;=0.6,"Moderado",IF(AE49&lt;=0.8,"Mayor","Catastrófico"))))),"")</f>
        <v>Mayor</v>
      </c>
      <c r="AE49" s="136">
        <f t="shared" ref="AE49:AE51" si="67">IFERROR(IF(T49="Impacto",(P49-(+P49*W49)),IF(T49="Probabilidad",P49,"")),"")</f>
        <v>0.8</v>
      </c>
      <c r="AF49" s="137" t="str">
        <f t="shared" ref="AF49:AF51" si="68">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Alto</v>
      </c>
      <c r="AG49" s="138" t="s">
        <v>122</v>
      </c>
      <c r="AH49" s="119" t="s">
        <v>518</v>
      </c>
      <c r="AI49" s="127" t="s">
        <v>203</v>
      </c>
      <c r="AJ49" s="143">
        <v>44562</v>
      </c>
      <c r="AK49" s="143">
        <v>44926</v>
      </c>
      <c r="AL49" s="126" t="s">
        <v>264</v>
      </c>
      <c r="AM49" s="140"/>
    </row>
    <row r="50" spans="1:39" s="163" customFormat="1" ht="151.5" customHeight="1" x14ac:dyDescent="0.35">
      <c r="A50" s="369"/>
      <c r="B50" s="371"/>
      <c r="C50" s="374"/>
      <c r="D50" s="375"/>
      <c r="E50" s="346"/>
      <c r="F50" s="346"/>
      <c r="G50" s="346"/>
      <c r="H50" s="341"/>
      <c r="I50" s="346"/>
      <c r="J50" s="348"/>
      <c r="K50" s="350"/>
      <c r="L50" s="353"/>
      <c r="M50" s="356"/>
      <c r="N50" s="142"/>
      <c r="O50" s="350"/>
      <c r="P50" s="353"/>
      <c r="Q50" s="343"/>
      <c r="R50" s="130">
        <v>2</v>
      </c>
      <c r="S50" s="98"/>
      <c r="T50" s="131" t="str">
        <f t="shared" si="61"/>
        <v/>
      </c>
      <c r="U50" s="132"/>
      <c r="V50" s="132"/>
      <c r="W50" s="133"/>
      <c r="X50" s="132"/>
      <c r="Y50" s="132"/>
      <c r="Z50" s="132"/>
      <c r="AA50" s="134" t="str">
        <f>IFERROR(IF(T50="Probabilidad",(AA49-(+AA49*W50)),IF(T50="Impacto",L50,"")),"")</f>
        <v/>
      </c>
      <c r="AB50" s="135" t="str">
        <f t="shared" si="64"/>
        <v/>
      </c>
      <c r="AC50" s="136" t="str">
        <f t="shared" si="65"/>
        <v/>
      </c>
      <c r="AD50" s="135" t="str">
        <f t="shared" si="66"/>
        <v/>
      </c>
      <c r="AE50" s="136" t="str">
        <f t="shared" si="67"/>
        <v/>
      </c>
      <c r="AF50" s="137" t="str">
        <f t="shared" si="68"/>
        <v/>
      </c>
      <c r="AG50" s="138"/>
      <c r="AH50" s="119"/>
      <c r="AI50" s="127"/>
      <c r="AJ50" s="143"/>
      <c r="AK50" s="143"/>
      <c r="AL50" s="119"/>
      <c r="AM50" s="140"/>
    </row>
    <row r="51" spans="1:39" s="163" customFormat="1" ht="151.5" customHeight="1" x14ac:dyDescent="0.35">
      <c r="A51" s="393"/>
      <c r="B51" s="372"/>
      <c r="C51" s="374"/>
      <c r="D51" s="375"/>
      <c r="E51" s="346"/>
      <c r="F51" s="346"/>
      <c r="G51" s="346"/>
      <c r="H51" s="341"/>
      <c r="I51" s="346"/>
      <c r="J51" s="348"/>
      <c r="K51" s="351"/>
      <c r="L51" s="354"/>
      <c r="M51" s="356"/>
      <c r="N51" s="142"/>
      <c r="O51" s="351"/>
      <c r="P51" s="354"/>
      <c r="Q51" s="344"/>
      <c r="R51" s="130">
        <v>3</v>
      </c>
      <c r="S51" s="98"/>
      <c r="T51" s="131" t="str">
        <f t="shared" si="61"/>
        <v/>
      </c>
      <c r="U51" s="132"/>
      <c r="V51" s="132"/>
      <c r="W51" s="133"/>
      <c r="X51" s="132"/>
      <c r="Y51" s="132"/>
      <c r="Z51" s="132"/>
      <c r="AA51" s="134" t="str">
        <f>IFERROR(IF(T51="Probabilidad",(AA50-(+AA50*W51)),IF(T51="Impacto",L51,"")),"")</f>
        <v/>
      </c>
      <c r="AB51" s="135" t="str">
        <f t="shared" si="64"/>
        <v/>
      </c>
      <c r="AC51" s="136" t="str">
        <f t="shared" si="65"/>
        <v/>
      </c>
      <c r="AD51" s="135" t="str">
        <f t="shared" si="66"/>
        <v/>
      </c>
      <c r="AE51" s="136" t="str">
        <f t="shared" si="67"/>
        <v/>
      </c>
      <c r="AF51" s="137" t="str">
        <f t="shared" si="68"/>
        <v/>
      </c>
      <c r="AG51" s="138"/>
      <c r="AH51" s="119"/>
      <c r="AI51" s="127"/>
      <c r="AJ51" s="143"/>
      <c r="AK51" s="143"/>
      <c r="AL51" s="119"/>
      <c r="AM51" s="140"/>
    </row>
    <row r="52" spans="1:39" s="163" customFormat="1" ht="151.5" customHeight="1" x14ac:dyDescent="0.35">
      <c r="A52" s="368">
        <v>17</v>
      </c>
      <c r="B52" s="370" t="s">
        <v>242</v>
      </c>
      <c r="C52" s="373" t="s">
        <v>385</v>
      </c>
      <c r="D52" s="373" t="s">
        <v>249</v>
      </c>
      <c r="E52" s="345" t="s">
        <v>120</v>
      </c>
      <c r="F52" s="345" t="s">
        <v>443</v>
      </c>
      <c r="G52" s="345" t="s">
        <v>266</v>
      </c>
      <c r="H52" s="340" t="s">
        <v>265</v>
      </c>
      <c r="I52" s="345" t="s">
        <v>328</v>
      </c>
      <c r="J52" s="347">
        <v>60</v>
      </c>
      <c r="K52" s="349" t="str">
        <f>IF(J52&lt;=0,"",IF(J52&lt;=2,"Muy Baja",IF(J52&lt;=24,"Baja",IF(J52&lt;=500,"Media",IF(J52&lt;=5000,"Alta","Muy Alta")))))</f>
        <v>Media</v>
      </c>
      <c r="L52" s="352">
        <f>IF(K52="","",IF(K52="Muy Baja",0.2,IF(K52="Baja",0.4,IF(K52="Media",0.6,IF(K52="Alta",0.8,IF(K52="Muy Alta",1,))))))</f>
        <v>0.6</v>
      </c>
      <c r="M52" s="355" t="s">
        <v>485</v>
      </c>
      <c r="N52" s="129" t="str">
        <f>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49" t="str">
        <f>IF(OR(N52='Tabla Impacto'!$C$11,N52='Tabla Impacto'!$D$11),"Leve",IF(OR(N52='Tabla Impacto'!$C$12,N52='Tabla Impacto'!$D$12),"Menor",IF(OR(N52='Tabla Impacto'!$C$13,N52='Tabla Impacto'!$D$13),"Moderado",IF(OR(N52='Tabla Impacto'!$C$14,N52='Tabla Impacto'!$D$14),"Mayor",IF(OR(N52='Tabla Impacto'!$C$15,N52='Tabla Impacto'!$D$15),"Catastrófico","")))))</f>
        <v>Moderado</v>
      </c>
      <c r="P52" s="352">
        <f>IF(O52="","",IF(O52="Leve",0.2,IF(O52="Menor",0.4,IF(O52="Moderado",0.6,IF(O52="Mayor",0.8,IF(O52="Catastrófico",1,))))))</f>
        <v>0.6</v>
      </c>
      <c r="Q52" s="342"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130">
        <v>1</v>
      </c>
      <c r="S52" s="98" t="s">
        <v>267</v>
      </c>
      <c r="T52" s="131" t="str">
        <f t="shared" si="25"/>
        <v>Probabilidad</v>
      </c>
      <c r="U52" s="132" t="s">
        <v>15</v>
      </c>
      <c r="V52" s="132" t="s">
        <v>9</v>
      </c>
      <c r="W52" s="133" t="str">
        <f t="shared" si="26"/>
        <v>30%</v>
      </c>
      <c r="X52" s="132" t="s">
        <v>19</v>
      </c>
      <c r="Y52" s="132" t="s">
        <v>22</v>
      </c>
      <c r="Z52" s="132" t="s">
        <v>110</v>
      </c>
      <c r="AA52" s="134">
        <f t="shared" si="27"/>
        <v>0.42</v>
      </c>
      <c r="AB52" s="135" t="str">
        <f t="shared" si="28"/>
        <v>Media</v>
      </c>
      <c r="AC52" s="136">
        <f t="shared" si="29"/>
        <v>0.42</v>
      </c>
      <c r="AD52" s="135" t="str">
        <f t="shared" si="30"/>
        <v>Moderado</v>
      </c>
      <c r="AE52" s="136">
        <f t="shared" si="31"/>
        <v>0.6</v>
      </c>
      <c r="AF52" s="137" t="str">
        <f t="shared" si="32"/>
        <v>Moderado</v>
      </c>
      <c r="AG52" s="138" t="s">
        <v>122</v>
      </c>
      <c r="AH52" s="119" t="s">
        <v>269</v>
      </c>
      <c r="AI52" s="144" t="s">
        <v>270</v>
      </c>
      <c r="AJ52" s="143">
        <v>44562</v>
      </c>
      <c r="AK52" s="143">
        <v>44926</v>
      </c>
      <c r="AL52" s="119" t="s">
        <v>271</v>
      </c>
      <c r="AM52" s="140"/>
    </row>
    <row r="53" spans="1:39" s="163" customFormat="1" ht="151.5" customHeight="1" x14ac:dyDescent="0.35">
      <c r="A53" s="369"/>
      <c r="B53" s="371"/>
      <c r="C53" s="374"/>
      <c r="D53" s="375"/>
      <c r="E53" s="346"/>
      <c r="F53" s="346"/>
      <c r="G53" s="346"/>
      <c r="H53" s="341"/>
      <c r="I53" s="346"/>
      <c r="J53" s="348"/>
      <c r="K53" s="350"/>
      <c r="L53" s="353"/>
      <c r="M53" s="356"/>
      <c r="N53" s="142"/>
      <c r="O53" s="350"/>
      <c r="P53" s="353"/>
      <c r="Q53" s="343"/>
      <c r="R53" s="130">
        <v>2</v>
      </c>
      <c r="S53" s="98" t="s">
        <v>268</v>
      </c>
      <c r="T53" s="131" t="str">
        <f t="shared" ref="T53:T54" si="69">IF(OR(U53="Preventivo",U53="Detectivo"),"Probabilidad",IF(U53="Correctivo","Impacto",""))</f>
        <v>Probabilidad</v>
      </c>
      <c r="U53" s="132" t="s">
        <v>15</v>
      </c>
      <c r="V53" s="132" t="s">
        <v>9</v>
      </c>
      <c r="W53" s="133" t="str">
        <f t="shared" ref="W53" si="70">IF(AND(U53="Preventivo",V53="Automático"),"50%",IF(AND(U53="Preventivo",V53="Manual"),"40%",IF(AND(U53="Detectivo",V53="Automático"),"40%",IF(AND(U53="Detectivo",V53="Manual"),"30%",IF(AND(U53="Correctivo",V53="Automático"),"35%",IF(AND(U53="Correctivo",V53="Manual"),"25%",""))))))</f>
        <v>30%</v>
      </c>
      <c r="X53" s="132" t="s">
        <v>19</v>
      </c>
      <c r="Y53" s="132" t="s">
        <v>22</v>
      </c>
      <c r="Z53" s="132" t="s">
        <v>110</v>
      </c>
      <c r="AA53" s="134">
        <f>IFERROR(IF(T53="Probabilidad",(AA52-(+AA52*W53)),IF(T53="Impacto",L53,"")),"")</f>
        <v>0.29399999999999998</v>
      </c>
      <c r="AB53" s="135" t="str">
        <f t="shared" ref="AB53:AB54" si="71">IFERROR(IF(AA53="","",IF(AA53&lt;=0.2,"Muy Baja",IF(AA53&lt;=0.4,"Baja",IF(AA53&lt;=0.6,"Media",IF(AA53&lt;=0.8,"Alta","Muy Alta"))))),"")</f>
        <v>Baja</v>
      </c>
      <c r="AC53" s="136">
        <f t="shared" ref="AC53:AC54" si="72">+AA53</f>
        <v>0.29399999999999998</v>
      </c>
      <c r="AD53" s="135" t="str">
        <f t="shared" ref="AD53:AD54" si="73">IFERROR(IF(AE53="","",IF(AE53&lt;=0.2,"Leve",IF(AE53&lt;=0.4,"Menor",IF(AE53&lt;=0.6,"Moderado",IF(AE53&lt;=0.8,"Mayor","Catastrófico"))))),"")</f>
        <v>Moderado</v>
      </c>
      <c r="AE53" s="136">
        <v>0.6</v>
      </c>
      <c r="AF53" s="137" t="str">
        <f t="shared" ref="AF53:AF54" si="74">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Moderado</v>
      </c>
      <c r="AG53" s="138" t="s">
        <v>122</v>
      </c>
      <c r="AH53" s="119" t="s">
        <v>269</v>
      </c>
      <c r="AI53" s="144" t="s">
        <v>270</v>
      </c>
      <c r="AJ53" s="143">
        <v>44562</v>
      </c>
      <c r="AK53" s="143">
        <v>44926</v>
      </c>
      <c r="AL53" s="119" t="s">
        <v>271</v>
      </c>
      <c r="AM53" s="140"/>
    </row>
    <row r="54" spans="1:39" s="163" customFormat="1" ht="151.5" customHeight="1" x14ac:dyDescent="0.35">
      <c r="A54" s="369"/>
      <c r="B54" s="372"/>
      <c r="C54" s="374"/>
      <c r="D54" s="375"/>
      <c r="E54" s="346"/>
      <c r="F54" s="346"/>
      <c r="G54" s="346"/>
      <c r="H54" s="341"/>
      <c r="I54" s="346"/>
      <c r="J54" s="348"/>
      <c r="K54" s="351"/>
      <c r="L54" s="354"/>
      <c r="M54" s="356"/>
      <c r="N54" s="142"/>
      <c r="O54" s="351"/>
      <c r="P54" s="354"/>
      <c r="Q54" s="344"/>
      <c r="R54" s="130">
        <v>3</v>
      </c>
      <c r="S54" s="98"/>
      <c r="T54" s="131" t="str">
        <f t="shared" si="69"/>
        <v/>
      </c>
      <c r="U54" s="132"/>
      <c r="V54" s="132"/>
      <c r="W54" s="133"/>
      <c r="X54" s="132"/>
      <c r="Y54" s="132"/>
      <c r="Z54" s="132"/>
      <c r="AA54" s="134" t="str">
        <f>IFERROR(IF(T54="Probabilidad",(AA53-(+AA53*W54)),IF(T54="Impacto",L54,"")),"")</f>
        <v/>
      </c>
      <c r="AB54" s="135" t="str">
        <f t="shared" si="71"/>
        <v/>
      </c>
      <c r="AC54" s="136" t="str">
        <f t="shared" si="72"/>
        <v/>
      </c>
      <c r="AD54" s="135" t="str">
        <f t="shared" si="73"/>
        <v/>
      </c>
      <c r="AE54" s="136" t="str">
        <f t="shared" ref="AE54" si="75">IFERROR(IF(T54="Impacto",(P54-(+P54*W54)),IF(T54="Probabilidad",P54,"")),"")</f>
        <v/>
      </c>
      <c r="AF54" s="137" t="str">
        <f t="shared" si="74"/>
        <v/>
      </c>
      <c r="AG54" s="138"/>
      <c r="AH54" s="119"/>
      <c r="AI54" s="127"/>
      <c r="AJ54" s="143"/>
      <c r="AK54" s="143"/>
      <c r="AL54" s="119"/>
      <c r="AM54" s="140"/>
    </row>
    <row r="55" spans="1:39" s="163" customFormat="1" ht="151.5" customHeight="1" x14ac:dyDescent="0.35">
      <c r="A55" s="369">
        <v>18</v>
      </c>
      <c r="B55" s="370" t="s">
        <v>272</v>
      </c>
      <c r="C55" s="373" t="s">
        <v>273</v>
      </c>
      <c r="D55" s="373" t="s">
        <v>387</v>
      </c>
      <c r="E55" s="345" t="s">
        <v>120</v>
      </c>
      <c r="F55" s="345" t="s">
        <v>274</v>
      </c>
      <c r="G55" s="345" t="s">
        <v>275</v>
      </c>
      <c r="H55" s="340" t="s">
        <v>444</v>
      </c>
      <c r="I55" s="345" t="s">
        <v>117</v>
      </c>
      <c r="J55" s="347">
        <v>360</v>
      </c>
      <c r="K55" s="349" t="str">
        <f>IF(J55&lt;=0,"",IF(J55&lt;=2,"Muy Baja",IF(J55&lt;=24,"Baja",IF(J55&lt;=500,"Media",IF(J55&lt;=5000,"Alta","Muy Alta")))))</f>
        <v>Media</v>
      </c>
      <c r="L55" s="352">
        <f>IF(K55="","",IF(K55="Muy Baja",0.2,IF(K55="Baja",0.4,IF(K55="Media",0.6,IF(K55="Alta",0.8,IF(K55="Muy Alta",1,))))))</f>
        <v>0.6</v>
      </c>
      <c r="M55" s="355" t="s">
        <v>485</v>
      </c>
      <c r="N55" s="129" t="str">
        <f>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49" t="str">
        <f>IF(OR(N55='Tabla Impacto'!$C$11,N55='Tabla Impacto'!$D$11),"Leve",IF(OR(N55='Tabla Impacto'!$C$12,N55='Tabla Impacto'!$D$12),"Menor",IF(OR(N55='Tabla Impacto'!$C$13,N55='Tabla Impacto'!$D$13),"Moderado",IF(OR(N55='Tabla Impacto'!$C$14,N55='Tabla Impacto'!$D$14),"Mayor",IF(OR(N55='Tabla Impacto'!$C$15,N55='Tabla Impacto'!$D$15),"Catastrófico","")))))</f>
        <v>Moderado</v>
      </c>
      <c r="P55" s="352">
        <f>IF(O55="","",IF(O55="Leve",0.2,IF(O55="Menor",0.4,IF(O55="Moderado",0.6,IF(O55="Mayor",0.8,IF(O55="Catastrófico",1,))))))</f>
        <v>0.6</v>
      </c>
      <c r="Q55" s="342"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30">
        <v>1</v>
      </c>
      <c r="S55" s="98" t="s">
        <v>276</v>
      </c>
      <c r="T55" s="131" t="str">
        <f t="shared" si="25"/>
        <v>Probabilidad</v>
      </c>
      <c r="U55" s="132" t="s">
        <v>15</v>
      </c>
      <c r="V55" s="132" t="s">
        <v>9</v>
      </c>
      <c r="W55" s="133" t="str">
        <f t="shared" si="26"/>
        <v>30%</v>
      </c>
      <c r="X55" s="132" t="s">
        <v>20</v>
      </c>
      <c r="Y55" s="132" t="s">
        <v>22</v>
      </c>
      <c r="Z55" s="132" t="s">
        <v>110</v>
      </c>
      <c r="AA55" s="134">
        <f t="shared" si="27"/>
        <v>0.42</v>
      </c>
      <c r="AB55" s="135" t="str">
        <f t="shared" si="28"/>
        <v>Media</v>
      </c>
      <c r="AC55" s="136">
        <f t="shared" si="29"/>
        <v>0.42</v>
      </c>
      <c r="AD55" s="135" t="str">
        <f t="shared" si="30"/>
        <v>Moderado</v>
      </c>
      <c r="AE55" s="136">
        <f t="shared" si="31"/>
        <v>0.6</v>
      </c>
      <c r="AF55" s="137" t="str">
        <f t="shared" si="32"/>
        <v>Moderado</v>
      </c>
      <c r="AG55" s="138" t="s">
        <v>122</v>
      </c>
      <c r="AH55" s="119" t="s">
        <v>386</v>
      </c>
      <c r="AI55" s="127" t="s">
        <v>198</v>
      </c>
      <c r="AJ55" s="143">
        <v>44562</v>
      </c>
      <c r="AK55" s="143">
        <v>44926</v>
      </c>
      <c r="AL55" s="119" t="s">
        <v>277</v>
      </c>
      <c r="AM55" s="140"/>
    </row>
    <row r="56" spans="1:39" s="163" customFormat="1" ht="151.5" customHeight="1" x14ac:dyDescent="0.35">
      <c r="A56" s="369"/>
      <c r="B56" s="371"/>
      <c r="C56" s="375"/>
      <c r="D56" s="374"/>
      <c r="E56" s="346"/>
      <c r="F56" s="346"/>
      <c r="G56" s="346"/>
      <c r="H56" s="341"/>
      <c r="I56" s="346"/>
      <c r="J56" s="348"/>
      <c r="K56" s="350"/>
      <c r="L56" s="353"/>
      <c r="M56" s="356"/>
      <c r="N56" s="142"/>
      <c r="O56" s="350"/>
      <c r="P56" s="353"/>
      <c r="Q56" s="343"/>
      <c r="R56" s="130">
        <v>2</v>
      </c>
      <c r="S56" s="98"/>
      <c r="T56" s="131" t="str">
        <f t="shared" ref="T56:T57" si="76">IF(OR(U56="Preventivo",U56="Detectivo"),"Probabilidad",IF(U56="Correctivo","Impacto",""))</f>
        <v/>
      </c>
      <c r="U56" s="132"/>
      <c r="V56" s="132"/>
      <c r="W56" s="133"/>
      <c r="X56" s="132"/>
      <c r="Y56" s="132"/>
      <c r="Z56" s="132"/>
      <c r="AA56" s="134" t="str">
        <f>IFERROR(IF(T56="Probabilidad",(AA55-(+AA55*W56)),IF(T56="Impacto",L56,"")),"")</f>
        <v/>
      </c>
      <c r="AB56" s="135" t="str">
        <f t="shared" ref="AB56:AB57" si="77">IFERROR(IF(AA56="","",IF(AA56&lt;=0.2,"Muy Baja",IF(AA56&lt;=0.4,"Baja",IF(AA56&lt;=0.6,"Media",IF(AA56&lt;=0.8,"Alta","Muy Alta"))))),"")</f>
        <v/>
      </c>
      <c r="AC56" s="136" t="str">
        <f t="shared" ref="AC56:AC57" si="78">+AA56</f>
        <v/>
      </c>
      <c r="AD56" s="135" t="str">
        <f t="shared" ref="AD56:AD57" si="79">IFERROR(IF(AE56="","",IF(AE56&lt;=0.2,"Leve",IF(AE56&lt;=0.4,"Menor",IF(AE56&lt;=0.6,"Moderado",IF(AE56&lt;=0.8,"Mayor","Catastrófico"))))),"")</f>
        <v/>
      </c>
      <c r="AE56" s="136" t="str">
        <f t="shared" ref="AE56:AE57" si="80">IFERROR(IF(T56="Impacto",(P56-(+P56*W56)),IF(T56="Probabilidad",P56,"")),"")</f>
        <v/>
      </c>
      <c r="AF56" s="137" t="str">
        <f t="shared" ref="AF56:AF57" si="81">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38"/>
      <c r="AH56" s="119"/>
      <c r="AI56" s="127"/>
      <c r="AJ56" s="143"/>
      <c r="AK56" s="143"/>
      <c r="AL56" s="119"/>
      <c r="AM56" s="140"/>
    </row>
    <row r="57" spans="1:39" s="163" customFormat="1" ht="151.5" customHeight="1" x14ac:dyDescent="0.35">
      <c r="A57" s="369"/>
      <c r="B57" s="372"/>
      <c r="C57" s="375"/>
      <c r="D57" s="374"/>
      <c r="E57" s="346"/>
      <c r="F57" s="346"/>
      <c r="G57" s="346"/>
      <c r="H57" s="341"/>
      <c r="I57" s="346"/>
      <c r="J57" s="348"/>
      <c r="K57" s="351"/>
      <c r="L57" s="354"/>
      <c r="M57" s="408"/>
      <c r="N57" s="142"/>
      <c r="O57" s="351"/>
      <c r="P57" s="354"/>
      <c r="Q57" s="344"/>
      <c r="R57" s="130">
        <v>3</v>
      </c>
      <c r="S57" s="98"/>
      <c r="T57" s="131" t="str">
        <f t="shared" si="76"/>
        <v/>
      </c>
      <c r="U57" s="132"/>
      <c r="V57" s="132"/>
      <c r="W57" s="133"/>
      <c r="X57" s="132"/>
      <c r="Y57" s="132"/>
      <c r="Z57" s="132"/>
      <c r="AA57" s="134" t="str">
        <f>IFERROR(IF(T57="Probabilidad",(AA56-(+AA56*W57)),IF(T57="Impacto",L57,"")),"")</f>
        <v/>
      </c>
      <c r="AB57" s="135" t="str">
        <f t="shared" si="77"/>
        <v/>
      </c>
      <c r="AC57" s="136" t="str">
        <f t="shared" si="78"/>
        <v/>
      </c>
      <c r="AD57" s="135" t="str">
        <f t="shared" si="79"/>
        <v/>
      </c>
      <c r="AE57" s="136" t="str">
        <f t="shared" si="80"/>
        <v/>
      </c>
      <c r="AF57" s="137" t="str">
        <f t="shared" si="81"/>
        <v/>
      </c>
      <c r="AG57" s="138"/>
      <c r="AH57" s="119"/>
      <c r="AI57" s="127"/>
      <c r="AJ57" s="143"/>
      <c r="AK57" s="143"/>
      <c r="AL57" s="119"/>
      <c r="AM57" s="140"/>
    </row>
    <row r="58" spans="1:39" s="163" customFormat="1" ht="151.5" customHeight="1" x14ac:dyDescent="0.35">
      <c r="A58" s="369">
        <v>19</v>
      </c>
      <c r="B58" s="370" t="s">
        <v>272</v>
      </c>
      <c r="C58" s="373" t="s">
        <v>273</v>
      </c>
      <c r="D58" s="373" t="s">
        <v>387</v>
      </c>
      <c r="E58" s="345" t="s">
        <v>120</v>
      </c>
      <c r="F58" s="398" t="s">
        <v>278</v>
      </c>
      <c r="G58" s="345" t="s">
        <v>279</v>
      </c>
      <c r="H58" s="340" t="s">
        <v>573</v>
      </c>
      <c r="I58" s="345" t="s">
        <v>115</v>
      </c>
      <c r="J58" s="347">
        <v>246</v>
      </c>
      <c r="K58" s="349" t="str">
        <f>IF(J58&lt;=0,"",IF(J58&lt;=2,"Muy Baja",IF(J58&lt;=24,"Baja",IF(J58&lt;=500,"Media",IF(J58&lt;=5000,"Alta","Muy Alta")))))</f>
        <v>Media</v>
      </c>
      <c r="L58" s="352">
        <f>IF(K58="","",IF(K58="Muy Baja",0.2,IF(K58="Baja",0.4,IF(K58="Media",0.6,IF(K58="Alta",0.8,IF(K58="Muy Alta",1,))))))</f>
        <v>0.6</v>
      </c>
      <c r="M58" s="355" t="s">
        <v>492</v>
      </c>
      <c r="N58" s="129" t="str">
        <f>IF(NOT(ISERROR(MATCH(M58,'Tabla Impacto'!$B$221:$B$223,0))),'Tabla Impacto'!$F$223&amp;"Por favor no seleccionar los criterios de impacto(Afectación Económica o presupuestal y Pérdida Reputacional)",M58)</f>
        <v xml:space="preserve"> El riesgo afecta la imagen de la entidad con efecto publicitario sostenido a nivel de sector administrativo, nivel departamental o municipal</v>
      </c>
      <c r="O58" s="349" t="str">
        <f>IF(OR(N58='Tabla Impacto'!$C$11,N58='Tabla Impacto'!$D$11),"Leve",IF(OR(N58='Tabla Impacto'!$C$12,N58='Tabla Impacto'!$D$12),"Menor",IF(OR(N58='Tabla Impacto'!$C$13,N58='Tabla Impacto'!$D$13),"Moderado",IF(OR(N58='Tabla Impacto'!$C$14,N58='Tabla Impacto'!$D$14),"Mayor",IF(OR(N58='Tabla Impacto'!$C$15,N58='Tabla Impacto'!$D$15),"Catastrófico","")))))</f>
        <v>Mayor</v>
      </c>
      <c r="P58" s="352">
        <f>IF(O58="","",IF(O58="Leve",0.2,IF(O58="Menor",0.4,IF(O58="Moderado",0.6,IF(O58="Mayor",0.8,IF(O58="Catastrófico",1,))))))</f>
        <v>0.8</v>
      </c>
      <c r="Q58" s="342"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Alto</v>
      </c>
      <c r="R58" s="130">
        <v>1</v>
      </c>
      <c r="S58" s="98" t="s">
        <v>543</v>
      </c>
      <c r="T58" s="131" t="str">
        <f t="shared" si="25"/>
        <v>Probabilidad</v>
      </c>
      <c r="U58" s="132" t="s">
        <v>14</v>
      </c>
      <c r="V58" s="132" t="s">
        <v>9</v>
      </c>
      <c r="W58" s="133" t="str">
        <f t="shared" si="26"/>
        <v>40%</v>
      </c>
      <c r="X58" s="132" t="s">
        <v>20</v>
      </c>
      <c r="Y58" s="132" t="s">
        <v>22</v>
      </c>
      <c r="Z58" s="132" t="s">
        <v>110</v>
      </c>
      <c r="AA58" s="134">
        <f t="shared" si="27"/>
        <v>0.36</v>
      </c>
      <c r="AB58" s="135" t="str">
        <f t="shared" si="28"/>
        <v>Baja</v>
      </c>
      <c r="AC58" s="136">
        <f t="shared" si="29"/>
        <v>0.36</v>
      </c>
      <c r="AD58" s="135" t="str">
        <f t="shared" si="30"/>
        <v>Mayor</v>
      </c>
      <c r="AE58" s="136">
        <f t="shared" si="31"/>
        <v>0.8</v>
      </c>
      <c r="AF58" s="137" t="str">
        <f t="shared" si="32"/>
        <v>Alto</v>
      </c>
      <c r="AG58" s="138" t="s">
        <v>122</v>
      </c>
      <c r="AH58" s="126" t="s">
        <v>372</v>
      </c>
      <c r="AI58" s="121" t="s">
        <v>212</v>
      </c>
      <c r="AJ58" s="155">
        <v>44562</v>
      </c>
      <c r="AK58" s="156" t="s">
        <v>373</v>
      </c>
      <c r="AL58" s="119" t="s">
        <v>280</v>
      </c>
      <c r="AM58" s="140"/>
    </row>
    <row r="59" spans="1:39" s="163" customFormat="1" ht="151.5" customHeight="1" x14ac:dyDescent="0.35">
      <c r="A59" s="369"/>
      <c r="B59" s="371"/>
      <c r="C59" s="375"/>
      <c r="D59" s="374"/>
      <c r="E59" s="346"/>
      <c r="F59" s="346"/>
      <c r="G59" s="346"/>
      <c r="H59" s="341"/>
      <c r="I59" s="346"/>
      <c r="J59" s="348"/>
      <c r="K59" s="350"/>
      <c r="L59" s="353"/>
      <c r="M59" s="356"/>
      <c r="N59" s="142"/>
      <c r="O59" s="350"/>
      <c r="P59" s="353"/>
      <c r="Q59" s="343"/>
      <c r="R59" s="130">
        <v>2</v>
      </c>
      <c r="S59" s="98"/>
      <c r="T59" s="131" t="str">
        <f t="shared" ref="T59:T60" si="82">IF(OR(U59="Preventivo",U59="Detectivo"),"Probabilidad",IF(U59="Correctivo","Impacto",""))</f>
        <v/>
      </c>
      <c r="U59" s="132"/>
      <c r="V59" s="132"/>
      <c r="W59" s="133"/>
      <c r="X59" s="132"/>
      <c r="Y59" s="132"/>
      <c r="Z59" s="132"/>
      <c r="AA59" s="134" t="str">
        <f>IFERROR(IF(T59="Probabilidad",(AA58-(+AA58*W59)),IF(T59="Impacto",L59,"")),"")</f>
        <v/>
      </c>
      <c r="AB59" s="135" t="str">
        <f t="shared" ref="AB59:AB60" si="83">IFERROR(IF(AA59="","",IF(AA59&lt;=0.2,"Muy Baja",IF(AA59&lt;=0.4,"Baja",IF(AA59&lt;=0.6,"Media",IF(AA59&lt;=0.8,"Alta","Muy Alta"))))),"")</f>
        <v/>
      </c>
      <c r="AC59" s="136" t="str">
        <f t="shared" ref="AC59:AC60" si="84">+AA59</f>
        <v/>
      </c>
      <c r="AD59" s="135" t="str">
        <f t="shared" ref="AD59:AD60" si="85">IFERROR(IF(AE59="","",IF(AE59&lt;=0.2,"Leve",IF(AE59&lt;=0.4,"Menor",IF(AE59&lt;=0.6,"Moderado",IF(AE59&lt;=0.8,"Mayor","Catastrófico"))))),"")</f>
        <v/>
      </c>
      <c r="AE59" s="136" t="str">
        <f t="shared" ref="AE59:AE60" si="86">IFERROR(IF(T59="Impacto",(P59-(+P59*W59)),IF(T59="Probabilidad",P59,"")),"")</f>
        <v/>
      </c>
      <c r="AF59" s="137"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8"/>
      <c r="AH59" s="119"/>
      <c r="AI59" s="127"/>
      <c r="AJ59" s="143"/>
      <c r="AK59" s="143"/>
      <c r="AL59" s="119"/>
      <c r="AM59" s="140"/>
    </row>
    <row r="60" spans="1:39" s="163" customFormat="1" ht="151.5" customHeight="1" x14ac:dyDescent="0.35">
      <c r="A60" s="369"/>
      <c r="B60" s="372"/>
      <c r="C60" s="375"/>
      <c r="D60" s="374"/>
      <c r="E60" s="346"/>
      <c r="F60" s="346"/>
      <c r="G60" s="346"/>
      <c r="H60" s="341"/>
      <c r="I60" s="346"/>
      <c r="J60" s="348"/>
      <c r="K60" s="351"/>
      <c r="L60" s="354"/>
      <c r="M60" s="356"/>
      <c r="N60" s="142"/>
      <c r="O60" s="351"/>
      <c r="P60" s="354"/>
      <c r="Q60" s="344"/>
      <c r="R60" s="130">
        <v>3</v>
      </c>
      <c r="S60" s="98"/>
      <c r="T60" s="131" t="str">
        <f t="shared" si="82"/>
        <v/>
      </c>
      <c r="U60" s="132"/>
      <c r="V60" s="132"/>
      <c r="W60" s="133"/>
      <c r="X60" s="132"/>
      <c r="Y60" s="132"/>
      <c r="Z60" s="132"/>
      <c r="AA60" s="134" t="str">
        <f>IFERROR(IF(T60="Probabilidad",(AA59-(+AA59*W60)),IF(T60="Impacto",L60,"")),"")</f>
        <v/>
      </c>
      <c r="AB60" s="135" t="str">
        <f t="shared" si="83"/>
        <v/>
      </c>
      <c r="AC60" s="136" t="str">
        <f t="shared" si="84"/>
        <v/>
      </c>
      <c r="AD60" s="135" t="str">
        <f t="shared" si="85"/>
        <v/>
      </c>
      <c r="AE60" s="136" t="str">
        <f t="shared" si="86"/>
        <v/>
      </c>
      <c r="AF60" s="137" t="str">
        <f t="shared" si="87"/>
        <v/>
      </c>
      <c r="AG60" s="138"/>
      <c r="AH60" s="119"/>
      <c r="AI60" s="127"/>
      <c r="AJ60" s="143"/>
      <c r="AK60" s="143"/>
      <c r="AL60" s="119"/>
      <c r="AM60" s="140"/>
    </row>
    <row r="61" spans="1:39" s="163" customFormat="1" ht="151.5" customHeight="1" x14ac:dyDescent="0.35">
      <c r="A61" s="369">
        <v>20</v>
      </c>
      <c r="B61" s="370" t="s">
        <v>281</v>
      </c>
      <c r="C61" s="373" t="s">
        <v>356</v>
      </c>
      <c r="D61" s="373" t="s">
        <v>388</v>
      </c>
      <c r="E61" s="345" t="s">
        <v>120</v>
      </c>
      <c r="F61" s="398" t="s">
        <v>526</v>
      </c>
      <c r="G61" s="398" t="s">
        <v>527</v>
      </c>
      <c r="H61" s="340" t="s">
        <v>525</v>
      </c>
      <c r="I61" s="345" t="s">
        <v>330</v>
      </c>
      <c r="J61" s="347">
        <v>4</v>
      </c>
      <c r="K61" s="349" t="str">
        <f>IF(J61&lt;=0,"",IF(J61&lt;=2,"Muy Baja",IF(J61&lt;=24,"Baja",IF(J61&lt;=500,"Media",IF(J61&lt;=5000,"Alta","Muy Alta")))))</f>
        <v>Baja</v>
      </c>
      <c r="L61" s="352">
        <f>IF(K61="","",IF(K61="Muy Baja",0.2,IF(K61="Baja",0.4,IF(K61="Media",0.6,IF(K61="Alta",0.8,IF(K61="Muy Alta",1,))))))</f>
        <v>0.4</v>
      </c>
      <c r="M61" s="355" t="s">
        <v>481</v>
      </c>
      <c r="N61" s="129" t="str">
        <f>IF(NOT(ISERROR(MATCH(M61,'Tabla Impacto'!$B$221:$B$223,0))),'Tabla Impacto'!$F$223&amp;"Por favor no seleccionar los criterios de impacto(Afectación Económica o presupuestal y Pérdida Reputacional)",M61)</f>
        <v xml:space="preserve"> Afectación menor a 10 SMLMV .</v>
      </c>
      <c r="O61" s="349" t="str">
        <f>IF(OR(N61='Tabla Impacto'!$C$11,N61='Tabla Impacto'!$D$11),"Leve",IF(OR(N61='Tabla Impacto'!$C$12,N61='Tabla Impacto'!$D$12),"Menor",IF(OR(N61='Tabla Impacto'!$C$13,N61='Tabla Impacto'!$D$13),"Moderado",IF(OR(N61='Tabla Impacto'!$C$14,N61='Tabla Impacto'!$D$14),"Mayor",IF(OR(N61='Tabla Impacto'!$C$15,N61='Tabla Impacto'!$D$15),"Catastrófico","")))))</f>
        <v>Leve</v>
      </c>
      <c r="P61" s="352">
        <f>IF(O61="","",IF(O61="Leve",0.2,IF(O61="Menor",0.4,IF(O61="Moderado",0.6,IF(O61="Mayor",0.8,IF(O61="Catastrófico",1,))))))</f>
        <v>0.2</v>
      </c>
      <c r="Q61" s="342"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Bajo</v>
      </c>
      <c r="R61" s="130">
        <v>1</v>
      </c>
      <c r="S61" s="98" t="s">
        <v>528</v>
      </c>
      <c r="T61" s="131" t="str">
        <f t="shared" si="25"/>
        <v>Probabilidad</v>
      </c>
      <c r="U61" s="132" t="s">
        <v>14</v>
      </c>
      <c r="V61" s="132" t="s">
        <v>9</v>
      </c>
      <c r="W61" s="133" t="str">
        <f t="shared" si="26"/>
        <v>40%</v>
      </c>
      <c r="X61" s="132" t="s">
        <v>19</v>
      </c>
      <c r="Y61" s="132" t="s">
        <v>22</v>
      </c>
      <c r="Z61" s="132" t="s">
        <v>110</v>
      </c>
      <c r="AA61" s="134">
        <f t="shared" si="27"/>
        <v>0.24</v>
      </c>
      <c r="AB61" s="135" t="str">
        <f t="shared" si="28"/>
        <v>Baja</v>
      </c>
      <c r="AC61" s="136">
        <f t="shared" si="29"/>
        <v>0.24</v>
      </c>
      <c r="AD61" s="135" t="str">
        <f t="shared" si="30"/>
        <v>Leve</v>
      </c>
      <c r="AE61" s="136">
        <f t="shared" si="31"/>
        <v>0.2</v>
      </c>
      <c r="AF61" s="137" t="str">
        <f t="shared" si="32"/>
        <v>Bajo</v>
      </c>
      <c r="AG61" s="138" t="s">
        <v>122</v>
      </c>
      <c r="AH61" s="119" t="s">
        <v>529</v>
      </c>
      <c r="AI61" s="127" t="s">
        <v>212</v>
      </c>
      <c r="AJ61" s="143" t="s">
        <v>286</v>
      </c>
      <c r="AK61" s="143" t="s">
        <v>287</v>
      </c>
      <c r="AL61" s="157" t="s">
        <v>538</v>
      </c>
      <c r="AM61" s="140"/>
    </row>
    <row r="62" spans="1:39" s="163" customFormat="1" ht="151.5" customHeight="1" x14ac:dyDescent="0.35">
      <c r="A62" s="369"/>
      <c r="B62" s="371"/>
      <c r="C62" s="374"/>
      <c r="D62" s="374"/>
      <c r="E62" s="346"/>
      <c r="F62" s="346"/>
      <c r="G62" s="346"/>
      <c r="H62" s="341"/>
      <c r="I62" s="346"/>
      <c r="J62" s="348"/>
      <c r="K62" s="350"/>
      <c r="L62" s="353"/>
      <c r="M62" s="356"/>
      <c r="N62" s="142"/>
      <c r="O62" s="350"/>
      <c r="P62" s="353"/>
      <c r="Q62" s="343"/>
      <c r="R62" s="130">
        <v>2</v>
      </c>
      <c r="S62" s="98"/>
      <c r="T62" s="131"/>
      <c r="U62" s="132"/>
      <c r="V62" s="132"/>
      <c r="W62" s="133"/>
      <c r="X62" s="132"/>
      <c r="Y62" s="132"/>
      <c r="Z62" s="132"/>
      <c r="AA62" s="134"/>
      <c r="AB62" s="135"/>
      <c r="AC62" s="136"/>
      <c r="AD62" s="135"/>
      <c r="AE62" s="136"/>
      <c r="AF62" s="137"/>
      <c r="AG62" s="138"/>
      <c r="AH62" s="119"/>
      <c r="AI62" s="127"/>
      <c r="AJ62" s="143"/>
      <c r="AK62" s="143"/>
      <c r="AL62" s="157"/>
      <c r="AM62" s="140"/>
    </row>
    <row r="63" spans="1:39" s="163" customFormat="1" ht="151.5" customHeight="1" x14ac:dyDescent="0.35">
      <c r="A63" s="369"/>
      <c r="B63" s="372"/>
      <c r="C63" s="374"/>
      <c r="D63" s="374"/>
      <c r="E63" s="346"/>
      <c r="F63" s="346"/>
      <c r="G63" s="346"/>
      <c r="H63" s="341"/>
      <c r="I63" s="346"/>
      <c r="J63" s="348"/>
      <c r="K63" s="351"/>
      <c r="L63" s="354"/>
      <c r="M63" s="356"/>
      <c r="N63" s="142"/>
      <c r="O63" s="351"/>
      <c r="P63" s="354"/>
      <c r="Q63" s="344"/>
      <c r="R63" s="130">
        <v>3</v>
      </c>
      <c r="S63" s="98"/>
      <c r="T63" s="131" t="str">
        <f t="shared" ref="T63" si="88">IF(OR(U63="Preventivo",U63="Detectivo"),"Probabilidad",IF(U63="Correctivo","Impacto",""))</f>
        <v/>
      </c>
      <c r="U63" s="132"/>
      <c r="V63" s="132"/>
      <c r="W63" s="133"/>
      <c r="X63" s="132"/>
      <c r="Y63" s="132"/>
      <c r="Z63" s="132"/>
      <c r="AA63" s="134"/>
      <c r="AB63" s="135"/>
      <c r="AC63" s="136"/>
      <c r="AD63" s="135"/>
      <c r="AE63" s="136"/>
      <c r="AF63" s="137"/>
      <c r="AG63" s="138"/>
      <c r="AH63" s="119"/>
      <c r="AI63" s="127"/>
      <c r="AJ63" s="143"/>
      <c r="AK63" s="143"/>
      <c r="AL63" s="119"/>
      <c r="AM63" s="140"/>
    </row>
    <row r="64" spans="1:39" s="163" customFormat="1" ht="151.5" customHeight="1" x14ac:dyDescent="0.35">
      <c r="A64" s="369">
        <v>21</v>
      </c>
      <c r="B64" s="370" t="s">
        <v>281</v>
      </c>
      <c r="C64" s="373" t="s">
        <v>356</v>
      </c>
      <c r="D64" s="373" t="s">
        <v>388</v>
      </c>
      <c r="E64" s="345" t="s">
        <v>118</v>
      </c>
      <c r="F64" s="345" t="s">
        <v>445</v>
      </c>
      <c r="G64" s="345" t="s">
        <v>284</v>
      </c>
      <c r="H64" s="340" t="s">
        <v>283</v>
      </c>
      <c r="I64" s="345" t="s">
        <v>328</v>
      </c>
      <c r="J64" s="347">
        <v>12</v>
      </c>
      <c r="K64" s="349" t="str">
        <f>IF(J64&lt;=0,"",IF(J64&lt;=2,"Muy Baja",IF(J64&lt;=24,"Baja",IF(J64&lt;=500,"Media",IF(J64&lt;=5000,"Alta","Muy Alta")))))</f>
        <v>Baja</v>
      </c>
      <c r="L64" s="352">
        <f>IF(K64="","",IF(K64="Muy Baja",0.2,IF(K64="Baja",0.4,IF(K64="Media",0.6,IF(K64="Alta",0.8,IF(K64="Muy Alta",1,))))))</f>
        <v>0.4</v>
      </c>
      <c r="M64" s="355" t="s">
        <v>490</v>
      </c>
      <c r="N64" s="129" t="str">
        <f>IF(NOT(ISERROR(MATCH(M64,'Tabla Impacto'!$B$221:$B$223,0))),'Tabla Impacto'!$F$223&amp;"Por favor no seleccionar los criterios de impacto(Afectación Económica o presupuestal y Pérdida Reputacional)",M64)</f>
        <v xml:space="preserve"> El riesgo afecta la imagen de la entidad internamente, de conocimiento general, nivel interno, de junta directiva y accionistas y/o de proveedores</v>
      </c>
      <c r="O64" s="349" t="str">
        <f>IF(OR(N64='Tabla Impacto'!$C$11,N64='Tabla Impacto'!$D$11),"Leve",IF(OR(N64='Tabla Impacto'!$C$12,N64='Tabla Impacto'!$D$12),"Menor",IF(OR(N64='Tabla Impacto'!$C$13,N64='Tabla Impacto'!$D$13),"Moderado",IF(OR(N64='Tabla Impacto'!$C$14,N64='Tabla Impacto'!$D$14),"Mayor",IF(OR(N64='Tabla Impacto'!$C$15,N64='Tabla Impacto'!$D$15),"Catastrófico","")))))</f>
        <v>Menor</v>
      </c>
      <c r="P64" s="352">
        <f>IF(O64="","",IF(O64="Leve",0.2,IF(O64="Menor",0.4,IF(O64="Moderado",0.6,IF(O64="Mayor",0.8,IF(O64="Catastrófico",1,))))))</f>
        <v>0.4</v>
      </c>
      <c r="Q64" s="342"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30">
        <v>1</v>
      </c>
      <c r="S64" s="119" t="s">
        <v>530</v>
      </c>
      <c r="T64" s="131" t="str">
        <f t="shared" si="25"/>
        <v>Probabilidad</v>
      </c>
      <c r="U64" s="132" t="s">
        <v>15</v>
      </c>
      <c r="V64" s="132" t="s">
        <v>9</v>
      </c>
      <c r="W64" s="133" t="str">
        <f t="shared" si="26"/>
        <v>30%</v>
      </c>
      <c r="X64" s="132" t="s">
        <v>19</v>
      </c>
      <c r="Y64" s="132" t="s">
        <v>22</v>
      </c>
      <c r="Z64" s="132" t="s">
        <v>110</v>
      </c>
      <c r="AA64" s="134">
        <f t="shared" si="27"/>
        <v>0.28000000000000003</v>
      </c>
      <c r="AB64" s="135" t="str">
        <f t="shared" si="28"/>
        <v>Baja</v>
      </c>
      <c r="AC64" s="136">
        <f t="shared" si="29"/>
        <v>0.28000000000000003</v>
      </c>
      <c r="AD64" s="135" t="str">
        <f t="shared" si="30"/>
        <v>Menor</v>
      </c>
      <c r="AE64" s="136">
        <f t="shared" si="31"/>
        <v>0.4</v>
      </c>
      <c r="AF64" s="137" t="str">
        <f t="shared" si="32"/>
        <v>Moderado</v>
      </c>
      <c r="AG64" s="138" t="s">
        <v>122</v>
      </c>
      <c r="AH64" s="119" t="s">
        <v>531</v>
      </c>
      <c r="AI64" s="127" t="s">
        <v>260</v>
      </c>
      <c r="AJ64" s="143" t="s">
        <v>286</v>
      </c>
      <c r="AK64" s="143" t="s">
        <v>287</v>
      </c>
      <c r="AL64" s="119" t="s">
        <v>532</v>
      </c>
      <c r="AM64" s="140"/>
    </row>
    <row r="65" spans="1:39" s="163" customFormat="1" ht="151.5" customHeight="1" x14ac:dyDescent="0.35">
      <c r="A65" s="369"/>
      <c r="B65" s="371"/>
      <c r="C65" s="374"/>
      <c r="D65" s="374"/>
      <c r="E65" s="346"/>
      <c r="F65" s="346"/>
      <c r="G65" s="346"/>
      <c r="H65" s="341"/>
      <c r="I65" s="346"/>
      <c r="J65" s="348"/>
      <c r="K65" s="350"/>
      <c r="L65" s="353"/>
      <c r="M65" s="356"/>
      <c r="N65" s="142"/>
      <c r="O65" s="350"/>
      <c r="P65" s="353"/>
      <c r="Q65" s="343"/>
      <c r="R65" s="130">
        <v>2</v>
      </c>
      <c r="S65" s="119"/>
      <c r="T65" s="131"/>
      <c r="U65" s="132"/>
      <c r="V65" s="132"/>
      <c r="W65" s="133"/>
      <c r="X65" s="132"/>
      <c r="Y65" s="132"/>
      <c r="Z65" s="132"/>
      <c r="AA65" s="134"/>
      <c r="AB65" s="135"/>
      <c r="AC65" s="136"/>
      <c r="AD65" s="135"/>
      <c r="AE65" s="136"/>
      <c r="AF65" s="137"/>
      <c r="AG65" s="138"/>
      <c r="AH65" s="119"/>
      <c r="AI65" s="127"/>
      <c r="AJ65" s="143"/>
      <c r="AK65" s="143"/>
      <c r="AL65" s="119"/>
      <c r="AM65" s="140"/>
    </row>
    <row r="66" spans="1:39" s="163" customFormat="1" ht="151.5" customHeight="1" x14ac:dyDescent="0.35">
      <c r="A66" s="369"/>
      <c r="B66" s="372"/>
      <c r="C66" s="374"/>
      <c r="D66" s="374"/>
      <c r="E66" s="346"/>
      <c r="F66" s="346"/>
      <c r="G66" s="346"/>
      <c r="H66" s="341"/>
      <c r="I66" s="346"/>
      <c r="J66" s="348"/>
      <c r="K66" s="351"/>
      <c r="L66" s="354"/>
      <c r="M66" s="356"/>
      <c r="N66" s="142"/>
      <c r="O66" s="351"/>
      <c r="P66" s="354"/>
      <c r="Q66" s="344"/>
      <c r="R66" s="130">
        <v>3</v>
      </c>
      <c r="S66" s="119"/>
      <c r="T66" s="131"/>
      <c r="U66" s="132"/>
      <c r="V66" s="132"/>
      <c r="W66" s="133"/>
      <c r="X66" s="132"/>
      <c r="Y66" s="132"/>
      <c r="Z66" s="132"/>
      <c r="AA66" s="134"/>
      <c r="AB66" s="135"/>
      <c r="AC66" s="136"/>
      <c r="AD66" s="135"/>
      <c r="AE66" s="136"/>
      <c r="AF66" s="137"/>
      <c r="AG66" s="138"/>
      <c r="AH66" s="119"/>
      <c r="AI66" s="127"/>
      <c r="AJ66" s="143"/>
      <c r="AK66" s="143"/>
      <c r="AL66" s="119"/>
      <c r="AM66" s="140"/>
    </row>
    <row r="67" spans="1:39" s="220" customFormat="1" ht="151.5" customHeight="1" x14ac:dyDescent="0.35">
      <c r="A67" s="334">
        <v>22</v>
      </c>
      <c r="B67" s="335" t="s">
        <v>281</v>
      </c>
      <c r="C67" s="338" t="s">
        <v>356</v>
      </c>
      <c r="D67" s="338" t="s">
        <v>388</v>
      </c>
      <c r="E67" s="340" t="s">
        <v>120</v>
      </c>
      <c r="F67" s="340" t="s">
        <v>534</v>
      </c>
      <c r="G67" s="340" t="s">
        <v>365</v>
      </c>
      <c r="H67" s="340" t="s">
        <v>533</v>
      </c>
      <c r="I67" s="340" t="s">
        <v>115</v>
      </c>
      <c r="J67" s="321">
        <v>20</v>
      </c>
      <c r="K67" s="323" t="str">
        <f>IF(J67&lt;=0,"",IF(J67&lt;=2,"Muy Baja",IF(J67&lt;=24,"Baja",IF(J67&lt;=500,"Media",IF(J67&lt;=5000,"Alta","Muy Alta")))))</f>
        <v>Baja</v>
      </c>
      <c r="L67" s="326">
        <f>IF(K67="","",IF(K67="Muy Baja",0.2,IF(K67="Baja",0.4,IF(K67="Media",0.6,IF(K67="Alta",0.8,IF(K67="Muy Alta",1,))))))</f>
        <v>0.4</v>
      </c>
      <c r="M67" s="329" t="s">
        <v>485</v>
      </c>
      <c r="N67" s="205" t="str">
        <f>IF(NOT(ISERROR(MATCH(M67,'Tabla Impacto'!$B$221:$B$223,0))),'Tabla Impacto'!$F$223&amp;"Por favor no seleccionar los criterios de impacto(Afectación Económica o presupuestal y Pérdida Reputacional)",M67)</f>
        <v xml:space="preserve"> El riesgo afecta la imagen de la entidad con algunos usuarios de relevancia frente al logro de los objetivos</v>
      </c>
      <c r="O67" s="323" t="str">
        <f>IF(OR(N67='Tabla Impacto'!$C$11,N67='Tabla Impacto'!$D$11),"Leve",IF(OR(N67='Tabla Impacto'!$C$12,N67='Tabla Impacto'!$D$12),"Menor",IF(OR(N67='Tabla Impacto'!$C$13,N67='Tabla Impacto'!$D$13),"Moderado",IF(OR(N67='Tabla Impacto'!$C$14,N67='Tabla Impacto'!$D$14),"Mayor",IF(OR(N67='Tabla Impacto'!$C$15,N67='Tabla Impacto'!$D$15),"Catastrófico","")))))</f>
        <v>Moderado</v>
      </c>
      <c r="P67" s="326">
        <f>IF(O67="","",IF(O67="Leve",0.2,IF(O67="Menor",0.4,IF(O67="Moderado",0.6,IF(O67="Mayor",0.8,IF(O67="Catastrófico",1,))))))</f>
        <v>0.6</v>
      </c>
      <c r="Q67" s="331"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207">
        <v>1</v>
      </c>
      <c r="S67" s="126" t="s">
        <v>535</v>
      </c>
      <c r="T67" s="208" t="str">
        <f t="shared" ref="T67:T73" si="89">IF(OR(U67="Preventivo",U67="Detectivo"),"Probabilidad",IF(U67="Correctivo","Impacto",""))</f>
        <v>Probabilidad</v>
      </c>
      <c r="U67" s="209" t="s">
        <v>15</v>
      </c>
      <c r="V67" s="209" t="s">
        <v>9</v>
      </c>
      <c r="W67" s="210" t="str">
        <f t="shared" ref="W67:W73" si="90">IF(AND(U67="Preventivo",V67="Automático"),"50%",IF(AND(U67="Preventivo",V67="Manual"),"40%",IF(AND(U67="Detectivo",V67="Automático"),"40%",IF(AND(U67="Detectivo",V67="Manual"),"30%",IF(AND(U67="Correctivo",V67="Automático"),"35%",IF(AND(U67="Correctivo",V67="Manual"),"25%",""))))))</f>
        <v>30%</v>
      </c>
      <c r="X67" s="209" t="s">
        <v>19</v>
      </c>
      <c r="Y67" s="209" t="s">
        <v>22</v>
      </c>
      <c r="Z67" s="209" t="s">
        <v>110</v>
      </c>
      <c r="AA67" s="160">
        <f t="shared" ref="AA67" si="91">IFERROR(IF(T67="Probabilidad",(L67-(+L67*W67)),IF(T67="Impacto",L67,"")),"")</f>
        <v>0.28000000000000003</v>
      </c>
      <c r="AB67" s="211" t="str">
        <f t="shared" ref="AB67:AB73" si="92">IFERROR(IF(AA67="","",IF(AA67&lt;=0.2,"Muy Baja",IF(AA67&lt;=0.4,"Baja",IF(AA67&lt;=0.6,"Media",IF(AA67&lt;=0.8,"Alta","Muy Alta"))))),"")</f>
        <v>Baja</v>
      </c>
      <c r="AC67" s="212">
        <f t="shared" ref="AC67:AC73" si="93">+AA67</f>
        <v>0.28000000000000003</v>
      </c>
      <c r="AD67" s="211" t="str">
        <f t="shared" ref="AD67:AD73" si="94">IFERROR(IF(AE67="","",IF(AE67&lt;=0.2,"Leve",IF(AE67&lt;=0.4,"Menor",IF(AE67&lt;=0.6,"Moderado",IF(AE67&lt;=0.8,"Mayor","Catastrófico"))))),"")</f>
        <v>Moderado</v>
      </c>
      <c r="AE67" s="212">
        <f t="shared" ref="AE67" si="95">IFERROR(IF(T67="Impacto",(P67-(+P67*W67)),IF(T67="Probabilidad",P67,"")),"")</f>
        <v>0.6</v>
      </c>
      <c r="AF67" s="213" t="str">
        <f t="shared" ref="AF67:AF73" si="96">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Moderado</v>
      </c>
      <c r="AG67" s="214" t="s">
        <v>122</v>
      </c>
      <c r="AH67" s="126" t="s">
        <v>536</v>
      </c>
      <c r="AI67" s="121" t="s">
        <v>212</v>
      </c>
      <c r="AJ67" s="128" t="s">
        <v>286</v>
      </c>
      <c r="AK67" s="128" t="s">
        <v>287</v>
      </c>
      <c r="AL67" s="126" t="s">
        <v>537</v>
      </c>
      <c r="AM67" s="204"/>
    </row>
    <row r="68" spans="1:39" s="220" customFormat="1" ht="151.5" customHeight="1" x14ac:dyDescent="0.35">
      <c r="A68" s="334"/>
      <c r="B68" s="336"/>
      <c r="C68" s="339"/>
      <c r="D68" s="339"/>
      <c r="E68" s="341"/>
      <c r="F68" s="341"/>
      <c r="G68" s="341"/>
      <c r="H68" s="341"/>
      <c r="I68" s="341"/>
      <c r="J68" s="322"/>
      <c r="K68" s="324"/>
      <c r="L68" s="327"/>
      <c r="M68" s="330"/>
      <c r="N68" s="206"/>
      <c r="O68" s="324"/>
      <c r="P68" s="327"/>
      <c r="Q68" s="332"/>
      <c r="R68" s="207">
        <v>2</v>
      </c>
      <c r="S68" s="201"/>
      <c r="T68" s="193"/>
      <c r="U68" s="194"/>
      <c r="V68" s="194"/>
      <c r="W68" s="195"/>
      <c r="X68" s="194"/>
      <c r="Y68" s="194"/>
      <c r="Z68" s="194"/>
      <c r="AA68" s="196"/>
      <c r="AB68" s="197"/>
      <c r="AC68" s="198"/>
      <c r="AD68" s="197"/>
      <c r="AE68" s="198"/>
      <c r="AF68" s="199"/>
      <c r="AG68" s="200"/>
      <c r="AH68" s="201"/>
      <c r="AI68" s="202"/>
      <c r="AJ68" s="203"/>
      <c r="AK68" s="203"/>
      <c r="AL68" s="201"/>
      <c r="AM68" s="204"/>
    </row>
    <row r="69" spans="1:39" s="220" customFormat="1" ht="151.5" customHeight="1" x14ac:dyDescent="0.35">
      <c r="A69" s="334"/>
      <c r="B69" s="337"/>
      <c r="C69" s="339"/>
      <c r="D69" s="339"/>
      <c r="E69" s="341"/>
      <c r="F69" s="341"/>
      <c r="G69" s="341"/>
      <c r="H69" s="341"/>
      <c r="I69" s="341"/>
      <c r="J69" s="322"/>
      <c r="K69" s="325"/>
      <c r="L69" s="328"/>
      <c r="M69" s="330"/>
      <c r="N69" s="206"/>
      <c r="O69" s="325"/>
      <c r="P69" s="328"/>
      <c r="Q69" s="333"/>
      <c r="R69" s="207">
        <v>3</v>
      </c>
      <c r="S69" s="201"/>
      <c r="T69" s="193"/>
      <c r="U69" s="194"/>
      <c r="V69" s="194"/>
      <c r="W69" s="195"/>
      <c r="X69" s="194"/>
      <c r="Y69" s="194"/>
      <c r="Z69" s="194"/>
      <c r="AA69" s="196"/>
      <c r="AB69" s="197"/>
      <c r="AC69" s="198"/>
      <c r="AD69" s="197"/>
      <c r="AE69" s="198"/>
      <c r="AF69" s="199"/>
      <c r="AG69" s="200"/>
      <c r="AH69" s="201"/>
      <c r="AI69" s="202"/>
      <c r="AJ69" s="203"/>
      <c r="AK69" s="203"/>
      <c r="AL69" s="201"/>
      <c r="AM69" s="204"/>
    </row>
    <row r="70" spans="1:39" s="163" customFormat="1" ht="151.5" customHeight="1" x14ac:dyDescent="0.35">
      <c r="A70" s="369">
        <v>23</v>
      </c>
      <c r="B70" s="370" t="s">
        <v>285</v>
      </c>
      <c r="C70" s="373" t="s">
        <v>389</v>
      </c>
      <c r="D70" s="373" t="s">
        <v>390</v>
      </c>
      <c r="E70" s="345" t="s">
        <v>118</v>
      </c>
      <c r="F70" s="345" t="s">
        <v>331</v>
      </c>
      <c r="G70" s="345" t="s">
        <v>446</v>
      </c>
      <c r="H70" s="340" t="s">
        <v>558</v>
      </c>
      <c r="I70" s="345" t="s">
        <v>115</v>
      </c>
      <c r="J70" s="347">
        <v>30</v>
      </c>
      <c r="K70" s="349" t="str">
        <f>IF(J70&lt;=0,"",IF(J70&lt;=2,"Muy Baja",IF(J70&lt;=24,"Baja",IF(J70&lt;=500,"Media",IF(J70&lt;=5000,"Alta","Muy Alta")))))</f>
        <v>Media</v>
      </c>
      <c r="L70" s="352">
        <f>IF(K70="","",IF(K70="Muy Baja",0.2,IF(K70="Baja",0.4,IF(K70="Media",0.6,IF(K70="Alta",0.8,IF(K70="Muy Alta",1,))))))</f>
        <v>0.6</v>
      </c>
      <c r="M70" s="355" t="s">
        <v>492</v>
      </c>
      <c r="N70" s="129" t="str">
        <f>IF(NOT(ISERROR(MATCH(M70,'Tabla Impacto'!$B$221:$B$223,0))),'Tabla Impacto'!$F$223&amp;"Por favor no seleccionar los criterios de impacto(Afectación Económica o presupuestal y Pérdida Reputacional)",M70)</f>
        <v xml:space="preserve"> El riesgo afecta la imagen de la entidad con efecto publicitario sostenido a nivel de sector administrativo, nivel departamental o municipal</v>
      </c>
      <c r="O70" s="349" t="str">
        <f>IF(OR(N70='Tabla Impacto'!$C$11,N70='Tabla Impacto'!$D$11),"Leve",IF(OR(N70='Tabla Impacto'!$C$12,N70='Tabla Impacto'!$D$12),"Menor",IF(OR(N70='Tabla Impacto'!$C$13,N70='Tabla Impacto'!$D$13),"Moderado",IF(OR(N70='Tabla Impacto'!$C$14,N70='Tabla Impacto'!$D$14),"Mayor",IF(OR(N70='Tabla Impacto'!$C$15,N70='Tabla Impacto'!$D$15),"Catastrófico","")))))</f>
        <v>Mayor</v>
      </c>
      <c r="P70" s="352">
        <f>IF(O70="","",IF(O70="Leve",0.2,IF(O70="Menor",0.4,IF(O70="Moderado",0.6,IF(O70="Mayor",0.8,IF(O70="Catastrófico",1,))))))</f>
        <v>0.8</v>
      </c>
      <c r="Q70" s="342"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130">
        <v>1</v>
      </c>
      <c r="S70" s="119" t="s">
        <v>579</v>
      </c>
      <c r="T70" s="158" t="str">
        <f t="shared" si="89"/>
        <v>Probabilidad</v>
      </c>
      <c r="U70" s="146" t="s">
        <v>14</v>
      </c>
      <c r="V70" s="132" t="s">
        <v>9</v>
      </c>
      <c r="W70" s="133" t="str">
        <f t="shared" si="90"/>
        <v>40%</v>
      </c>
      <c r="X70" s="132" t="s">
        <v>19</v>
      </c>
      <c r="Y70" s="132" t="s">
        <v>22</v>
      </c>
      <c r="Z70" s="132" t="s">
        <v>110</v>
      </c>
      <c r="AA70" s="134">
        <f t="shared" ref="AA70:AA73" si="97">IFERROR(IF(T70="Probabilidad",(L70-(+L70*W70)),IF(T70="Impacto",L70,"")),"")</f>
        <v>0.36</v>
      </c>
      <c r="AB70" s="135" t="str">
        <f t="shared" si="92"/>
        <v>Baja</v>
      </c>
      <c r="AC70" s="136">
        <f t="shared" si="93"/>
        <v>0.36</v>
      </c>
      <c r="AD70" s="135" t="str">
        <f t="shared" si="94"/>
        <v>Mayor</v>
      </c>
      <c r="AE70" s="136">
        <f t="shared" ref="AE70:AE73" si="98">IFERROR(IF(T70="Impacto",(P70-(+P70*W70)),IF(T70="Probabilidad",P70,"")),"")</f>
        <v>0.8</v>
      </c>
      <c r="AF70" s="137" t="str">
        <f t="shared" si="96"/>
        <v>Alto</v>
      </c>
      <c r="AG70" s="138" t="s">
        <v>122</v>
      </c>
      <c r="AH70" s="126" t="s">
        <v>559</v>
      </c>
      <c r="AI70" s="121" t="s">
        <v>212</v>
      </c>
      <c r="AJ70" s="128" t="s">
        <v>286</v>
      </c>
      <c r="AK70" s="128" t="s">
        <v>287</v>
      </c>
      <c r="AL70" s="126" t="s">
        <v>391</v>
      </c>
      <c r="AM70" s="140"/>
    </row>
    <row r="71" spans="1:39" s="163" customFormat="1" ht="151.5" customHeight="1" x14ac:dyDescent="0.35">
      <c r="A71" s="369"/>
      <c r="B71" s="371"/>
      <c r="C71" s="375"/>
      <c r="D71" s="374"/>
      <c r="E71" s="346"/>
      <c r="F71" s="346"/>
      <c r="G71" s="346"/>
      <c r="H71" s="341"/>
      <c r="I71" s="346"/>
      <c r="J71" s="348"/>
      <c r="K71" s="350"/>
      <c r="L71" s="353"/>
      <c r="M71" s="356"/>
      <c r="N71" s="142"/>
      <c r="O71" s="350"/>
      <c r="P71" s="353"/>
      <c r="Q71" s="343"/>
      <c r="R71" s="130">
        <v>2</v>
      </c>
      <c r="S71" s="119"/>
      <c r="T71" s="158"/>
      <c r="U71" s="146"/>
      <c r="V71" s="132"/>
      <c r="W71" s="133"/>
      <c r="X71" s="132"/>
      <c r="Y71" s="132"/>
      <c r="Z71" s="132"/>
      <c r="AA71" s="134"/>
      <c r="AB71" s="135"/>
      <c r="AC71" s="136"/>
      <c r="AD71" s="135"/>
      <c r="AE71" s="136"/>
      <c r="AF71" s="137"/>
      <c r="AG71" s="138"/>
      <c r="AH71" s="126"/>
      <c r="AI71" s="121"/>
      <c r="AJ71" s="128"/>
      <c r="AK71" s="128"/>
      <c r="AL71" s="126"/>
      <c r="AM71" s="140"/>
    </row>
    <row r="72" spans="1:39" s="163" customFormat="1" ht="151.5" customHeight="1" x14ac:dyDescent="0.35">
      <c r="A72" s="393"/>
      <c r="B72" s="372"/>
      <c r="C72" s="375"/>
      <c r="D72" s="374"/>
      <c r="E72" s="346"/>
      <c r="F72" s="346"/>
      <c r="G72" s="346"/>
      <c r="H72" s="341"/>
      <c r="I72" s="346"/>
      <c r="J72" s="348"/>
      <c r="K72" s="351"/>
      <c r="L72" s="354"/>
      <c r="M72" s="356"/>
      <c r="N72" s="142"/>
      <c r="O72" s="351"/>
      <c r="P72" s="354"/>
      <c r="Q72" s="344"/>
      <c r="R72" s="130">
        <v>3</v>
      </c>
      <c r="S72" s="119"/>
      <c r="T72" s="158"/>
      <c r="U72" s="146"/>
      <c r="V72" s="132"/>
      <c r="W72" s="133"/>
      <c r="X72" s="132"/>
      <c r="Y72" s="132"/>
      <c r="Z72" s="132"/>
      <c r="AA72" s="134"/>
      <c r="AB72" s="135"/>
      <c r="AC72" s="136"/>
      <c r="AD72" s="135"/>
      <c r="AE72" s="136"/>
      <c r="AF72" s="137"/>
      <c r="AG72" s="138"/>
      <c r="AH72" s="126"/>
      <c r="AI72" s="121"/>
      <c r="AJ72" s="128"/>
      <c r="AK72" s="128"/>
      <c r="AL72" s="126"/>
      <c r="AM72" s="140"/>
    </row>
    <row r="73" spans="1:39" s="163" customFormat="1" ht="151.5" customHeight="1" x14ac:dyDescent="0.35">
      <c r="A73" s="368">
        <v>24</v>
      </c>
      <c r="B73" s="370" t="s">
        <v>285</v>
      </c>
      <c r="C73" s="373" t="s">
        <v>389</v>
      </c>
      <c r="D73" s="373" t="s">
        <v>390</v>
      </c>
      <c r="E73" s="345" t="s">
        <v>118</v>
      </c>
      <c r="F73" s="345" t="s">
        <v>288</v>
      </c>
      <c r="G73" s="345" t="s">
        <v>447</v>
      </c>
      <c r="H73" s="340" t="s">
        <v>392</v>
      </c>
      <c r="I73" s="345" t="s">
        <v>328</v>
      </c>
      <c r="J73" s="347">
        <v>12</v>
      </c>
      <c r="K73" s="349" t="str">
        <f>IF(J73&lt;=0,"",IF(J73&lt;=2,"Muy Baja",IF(J73&lt;=24,"Baja",IF(J73&lt;=500,"Media",IF(J73&lt;=5000,"Alta","Muy Alta")))))</f>
        <v>Baja</v>
      </c>
      <c r="L73" s="352">
        <f>IF(K73="","",IF(K73="Muy Baja",0.2,IF(K73="Baja",0.4,IF(K73="Media",0.6,IF(K73="Alta",0.8,IF(K73="Muy Alta",1,))))))</f>
        <v>0.4</v>
      </c>
      <c r="M73" s="355" t="s">
        <v>485</v>
      </c>
      <c r="N73" s="129" t="str">
        <f>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349" t="str">
        <f>IF(OR(N73='Tabla Impacto'!$C$11,N73='Tabla Impacto'!$D$11),"Leve",IF(OR(N73='Tabla Impacto'!$C$12,N73='Tabla Impacto'!$D$12),"Menor",IF(OR(N73='Tabla Impacto'!$C$13,N73='Tabla Impacto'!$D$13),"Moderado",IF(OR(N73='Tabla Impacto'!$C$14,N73='Tabla Impacto'!$D$14),"Mayor",IF(OR(N73='Tabla Impacto'!$C$15,N73='Tabla Impacto'!$D$15),"Catastrófico","")))))</f>
        <v>Moderado</v>
      </c>
      <c r="P73" s="352">
        <f>IF(O73="","",IF(O73="Leve",0.2,IF(O73="Menor",0.4,IF(O73="Moderado",0.6,IF(O73="Mayor",0.8,IF(O73="Catastrófico",1,))))))</f>
        <v>0.6</v>
      </c>
      <c r="Q73" s="342"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30">
        <v>1</v>
      </c>
      <c r="S73" s="98" t="s">
        <v>560</v>
      </c>
      <c r="T73" s="131" t="str">
        <f t="shared" si="89"/>
        <v>Probabilidad</v>
      </c>
      <c r="U73" s="132" t="s">
        <v>14</v>
      </c>
      <c r="V73" s="132" t="s">
        <v>9</v>
      </c>
      <c r="W73" s="133" t="str">
        <f t="shared" si="90"/>
        <v>40%</v>
      </c>
      <c r="X73" s="132" t="s">
        <v>19</v>
      </c>
      <c r="Y73" s="132" t="s">
        <v>22</v>
      </c>
      <c r="Z73" s="132" t="s">
        <v>110</v>
      </c>
      <c r="AA73" s="134">
        <f t="shared" si="97"/>
        <v>0.24</v>
      </c>
      <c r="AB73" s="135" t="str">
        <f t="shared" si="92"/>
        <v>Baja</v>
      </c>
      <c r="AC73" s="136">
        <f t="shared" si="93"/>
        <v>0.24</v>
      </c>
      <c r="AD73" s="135" t="str">
        <f t="shared" si="94"/>
        <v>Moderado</v>
      </c>
      <c r="AE73" s="136">
        <f t="shared" si="98"/>
        <v>0.6</v>
      </c>
      <c r="AF73" s="137" t="str">
        <f t="shared" si="96"/>
        <v>Moderado</v>
      </c>
      <c r="AG73" s="138" t="s">
        <v>122</v>
      </c>
      <c r="AH73" s="119" t="s">
        <v>393</v>
      </c>
      <c r="AI73" s="127" t="s">
        <v>198</v>
      </c>
      <c r="AJ73" s="143" t="s">
        <v>199</v>
      </c>
      <c r="AK73" s="143" t="s">
        <v>199</v>
      </c>
      <c r="AL73" s="119" t="s">
        <v>289</v>
      </c>
      <c r="AM73" s="140"/>
    </row>
    <row r="74" spans="1:39" s="163" customFormat="1" ht="151.5" customHeight="1" x14ac:dyDescent="0.35">
      <c r="A74" s="369"/>
      <c r="B74" s="371"/>
      <c r="C74" s="375"/>
      <c r="D74" s="374"/>
      <c r="E74" s="346"/>
      <c r="F74" s="346"/>
      <c r="G74" s="346"/>
      <c r="H74" s="341"/>
      <c r="I74" s="346"/>
      <c r="J74" s="348"/>
      <c r="K74" s="350"/>
      <c r="L74" s="353"/>
      <c r="M74" s="356"/>
      <c r="N74" s="142"/>
      <c r="O74" s="350"/>
      <c r="P74" s="353"/>
      <c r="Q74" s="343"/>
      <c r="R74" s="130">
        <v>2</v>
      </c>
      <c r="S74" s="98"/>
      <c r="T74" s="131" t="str">
        <f t="shared" ref="T74:T75" si="99">IF(OR(U74="Preventivo",U74="Detectivo"),"Probabilidad",IF(U74="Correctivo","Impacto",""))</f>
        <v/>
      </c>
      <c r="U74" s="132"/>
      <c r="V74" s="132"/>
      <c r="W74" s="133"/>
      <c r="X74" s="132"/>
      <c r="Y74" s="132"/>
      <c r="Z74" s="132"/>
      <c r="AA74" s="134" t="str">
        <f>IFERROR(IF(T74="Probabilidad",(AA73-(+AA73*W74)),IF(T74="Impacto",L74,"")),"")</f>
        <v/>
      </c>
      <c r="AB74" s="135" t="str">
        <f t="shared" ref="AB74:AB75" si="100">IFERROR(IF(AA74="","",IF(AA74&lt;=0.2,"Muy Baja",IF(AA74&lt;=0.4,"Baja",IF(AA74&lt;=0.6,"Media",IF(AA74&lt;=0.8,"Alta","Muy Alta"))))),"")</f>
        <v/>
      </c>
      <c r="AC74" s="136" t="str">
        <f t="shared" ref="AC74:AC75" si="101">+AA74</f>
        <v/>
      </c>
      <c r="AD74" s="135" t="str">
        <f t="shared" ref="AD74:AD75" si="102">IFERROR(IF(AE74="","",IF(AE74&lt;=0.2,"Leve",IF(AE74&lt;=0.4,"Menor",IF(AE74&lt;=0.6,"Moderado",IF(AE74&lt;=0.8,"Mayor","Catastrófico"))))),"")</f>
        <v/>
      </c>
      <c r="AE74" s="136" t="str">
        <f t="shared" ref="AE74:AE75" si="103">IFERROR(IF(T74="Impacto",(P74-(+P74*W74)),IF(T74="Probabilidad",P74,"")),"")</f>
        <v/>
      </c>
      <c r="AF74" s="137" t="str">
        <f t="shared" ref="AF74:AF75" si="104">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
      </c>
      <c r="AG74" s="138"/>
      <c r="AH74" s="119"/>
      <c r="AI74" s="127"/>
      <c r="AJ74" s="143"/>
      <c r="AK74" s="143"/>
      <c r="AL74" s="119"/>
      <c r="AM74" s="140"/>
    </row>
    <row r="75" spans="1:39" s="163" customFormat="1" ht="151.5" customHeight="1" x14ac:dyDescent="0.35">
      <c r="A75" s="369"/>
      <c r="B75" s="372"/>
      <c r="C75" s="375"/>
      <c r="D75" s="374"/>
      <c r="E75" s="346"/>
      <c r="F75" s="346"/>
      <c r="G75" s="346"/>
      <c r="H75" s="341"/>
      <c r="I75" s="346"/>
      <c r="J75" s="348"/>
      <c r="K75" s="351"/>
      <c r="L75" s="354"/>
      <c r="M75" s="356"/>
      <c r="N75" s="142"/>
      <c r="O75" s="351"/>
      <c r="P75" s="354"/>
      <c r="Q75" s="344"/>
      <c r="R75" s="130">
        <v>3</v>
      </c>
      <c r="S75" s="98"/>
      <c r="T75" s="131" t="str">
        <f t="shared" si="99"/>
        <v/>
      </c>
      <c r="U75" s="132"/>
      <c r="V75" s="132"/>
      <c r="W75" s="133"/>
      <c r="X75" s="132"/>
      <c r="Y75" s="132"/>
      <c r="Z75" s="132"/>
      <c r="AA75" s="134" t="str">
        <f>IFERROR(IF(T75="Probabilidad",(AA74-(+AA74*W75)),IF(T75="Impacto",L75,"")),"")</f>
        <v/>
      </c>
      <c r="AB75" s="135" t="str">
        <f t="shared" si="100"/>
        <v/>
      </c>
      <c r="AC75" s="136" t="str">
        <f t="shared" si="101"/>
        <v/>
      </c>
      <c r="AD75" s="135" t="str">
        <f t="shared" si="102"/>
        <v/>
      </c>
      <c r="AE75" s="136" t="str">
        <f t="shared" si="103"/>
        <v/>
      </c>
      <c r="AF75" s="137" t="str">
        <f t="shared" si="104"/>
        <v/>
      </c>
      <c r="AG75" s="138"/>
      <c r="AH75" s="119"/>
      <c r="AI75" s="127"/>
      <c r="AJ75" s="143"/>
      <c r="AK75" s="143"/>
      <c r="AL75" s="119"/>
      <c r="AM75" s="140"/>
    </row>
    <row r="76" spans="1:39" s="163" customFormat="1" ht="151.5" customHeight="1" x14ac:dyDescent="0.35">
      <c r="A76" s="369">
        <v>25</v>
      </c>
      <c r="B76" s="370" t="s">
        <v>285</v>
      </c>
      <c r="C76" s="373" t="s">
        <v>389</v>
      </c>
      <c r="D76" s="373" t="s">
        <v>390</v>
      </c>
      <c r="E76" s="345" t="s">
        <v>120</v>
      </c>
      <c r="F76" s="345" t="s">
        <v>449</v>
      </c>
      <c r="G76" s="345" t="s">
        <v>448</v>
      </c>
      <c r="H76" s="340" t="s">
        <v>397</v>
      </c>
      <c r="I76" s="345" t="s">
        <v>328</v>
      </c>
      <c r="J76" s="347">
        <v>12</v>
      </c>
      <c r="K76" s="349" t="str">
        <f>IF(J76&lt;=0,"",IF(J76&lt;=2,"Muy Baja",IF(J76&lt;=24,"Baja",IF(J76&lt;=500,"Media",IF(J76&lt;=5000,"Alta","Muy Alta")))))</f>
        <v>Baja</v>
      </c>
      <c r="L76" s="352">
        <f>IF(K76="","",IF(K76="Muy Baja",0.2,IF(K76="Baja",0.4,IF(K76="Media",0.6,IF(K76="Alta",0.8,IF(K76="Muy Alta",1,))))))</f>
        <v>0.4</v>
      </c>
      <c r="M76" s="355" t="s">
        <v>485</v>
      </c>
      <c r="N76" s="129"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49" t="str">
        <f>IF(OR(N76='Tabla Impacto'!$C$11,N76='Tabla Impacto'!$D$11),"Leve",IF(OR(N76='Tabla Impacto'!$C$12,N76='Tabla Impacto'!$D$12),"Menor",IF(OR(N76='Tabla Impacto'!$C$13,N76='Tabla Impacto'!$D$13),"Moderado",IF(OR(N76='Tabla Impacto'!$C$14,N76='Tabla Impacto'!$D$14),"Mayor",IF(OR(N76='Tabla Impacto'!$C$15,N76='Tabla Impacto'!$D$15),"Catastrófico","")))))</f>
        <v>Moderado</v>
      </c>
      <c r="P76" s="352">
        <f>IF(O76="","",IF(O76="Leve",0.2,IF(O76="Menor",0.4,IF(O76="Moderado",0.6,IF(O76="Mayor",0.8,IF(O76="Catastrófico",1,))))))</f>
        <v>0.6</v>
      </c>
      <c r="Q76" s="342"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30">
        <v>1</v>
      </c>
      <c r="S76" s="98" t="s">
        <v>340</v>
      </c>
      <c r="T76" s="131" t="str">
        <f t="shared" si="25"/>
        <v>Probabilidad</v>
      </c>
      <c r="U76" s="132" t="s">
        <v>14</v>
      </c>
      <c r="V76" s="132" t="s">
        <v>9</v>
      </c>
      <c r="W76" s="133" t="str">
        <f t="shared" si="26"/>
        <v>40%</v>
      </c>
      <c r="X76" s="132" t="s">
        <v>19</v>
      </c>
      <c r="Y76" s="132" t="s">
        <v>22</v>
      </c>
      <c r="Z76" s="132" t="s">
        <v>110</v>
      </c>
      <c r="AA76" s="134">
        <f t="shared" si="27"/>
        <v>0.24</v>
      </c>
      <c r="AB76" s="135" t="str">
        <f t="shared" si="28"/>
        <v>Baja</v>
      </c>
      <c r="AC76" s="136">
        <f t="shared" si="29"/>
        <v>0.24</v>
      </c>
      <c r="AD76" s="135" t="str">
        <f t="shared" si="30"/>
        <v>Moderado</v>
      </c>
      <c r="AE76" s="136">
        <f t="shared" si="31"/>
        <v>0.6</v>
      </c>
      <c r="AF76" s="137" t="str">
        <f t="shared" si="32"/>
        <v>Moderado</v>
      </c>
      <c r="AG76" s="138" t="s">
        <v>122</v>
      </c>
      <c r="AH76" s="119" t="s">
        <v>290</v>
      </c>
      <c r="AI76" s="144" t="s">
        <v>260</v>
      </c>
      <c r="AJ76" s="143" t="s">
        <v>286</v>
      </c>
      <c r="AK76" s="143" t="s">
        <v>287</v>
      </c>
      <c r="AL76" s="119" t="s">
        <v>291</v>
      </c>
      <c r="AM76" s="140"/>
    </row>
    <row r="77" spans="1:39" s="163" customFormat="1" ht="151.5" customHeight="1" x14ac:dyDescent="0.35">
      <c r="A77" s="369"/>
      <c r="B77" s="371"/>
      <c r="C77" s="375"/>
      <c r="D77" s="374"/>
      <c r="E77" s="346"/>
      <c r="F77" s="346"/>
      <c r="G77" s="346"/>
      <c r="H77" s="341"/>
      <c r="I77" s="346"/>
      <c r="J77" s="348"/>
      <c r="K77" s="350"/>
      <c r="L77" s="353"/>
      <c r="M77" s="356"/>
      <c r="N77" s="142"/>
      <c r="O77" s="350"/>
      <c r="P77" s="353"/>
      <c r="Q77" s="343"/>
      <c r="R77" s="130">
        <v>2</v>
      </c>
      <c r="S77" s="98" t="s">
        <v>394</v>
      </c>
      <c r="T77" s="131" t="str">
        <f t="shared" ref="T77:T78" si="105">IF(OR(U77="Preventivo",U77="Detectivo"),"Probabilidad",IF(U77="Correctivo","Impacto",""))</f>
        <v>Probabilidad</v>
      </c>
      <c r="U77" s="132" t="s">
        <v>15</v>
      </c>
      <c r="V77" s="132" t="s">
        <v>9</v>
      </c>
      <c r="W77" s="133" t="str">
        <f t="shared" ref="W77:W78" si="106">IF(AND(U77="Preventivo",V77="Automático"),"50%",IF(AND(U77="Preventivo",V77="Manual"),"40%",IF(AND(U77="Detectivo",V77="Automático"),"40%",IF(AND(U77="Detectivo",V77="Manual"),"30%",IF(AND(U77="Correctivo",V77="Automático"),"35%",IF(AND(U77="Correctivo",V77="Manual"),"25%",""))))))</f>
        <v>30%</v>
      </c>
      <c r="X77" s="132" t="s">
        <v>20</v>
      </c>
      <c r="Y77" s="132" t="s">
        <v>23</v>
      </c>
      <c r="Z77" s="132" t="s">
        <v>110</v>
      </c>
      <c r="AA77" s="134">
        <f>IFERROR(IF(T77="Probabilidad",(AA76-(+AA76*W77)),IF(T77="Impacto",L77,"")),"")</f>
        <v>0.16799999999999998</v>
      </c>
      <c r="AB77" s="135" t="str">
        <f t="shared" ref="AB77:AB78" si="107">IFERROR(IF(AA77="","",IF(AA77&lt;=0.2,"Muy Baja",IF(AA77&lt;=0.4,"Baja",IF(AA77&lt;=0.6,"Media",IF(AA77&lt;=0.8,"Alta","Muy Alta"))))),"")</f>
        <v>Muy Baja</v>
      </c>
      <c r="AC77" s="136">
        <f t="shared" ref="AC77:AC78" si="108">+AA77</f>
        <v>0.16799999999999998</v>
      </c>
      <c r="AD77" s="135" t="str">
        <f t="shared" ref="AD77:AD78" si="109">IFERROR(IF(AE77="","",IF(AE77&lt;=0.2,"Leve",IF(AE77&lt;=0.4,"Menor",IF(AE77&lt;=0.6,"Moderado",IF(AE77&lt;=0.8,"Mayor","Catastrófico"))))),"")</f>
        <v>Moderado</v>
      </c>
      <c r="AE77" s="136">
        <v>0.6</v>
      </c>
      <c r="AF77" s="137"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38" t="s">
        <v>122</v>
      </c>
      <c r="AH77" s="119" t="s">
        <v>395</v>
      </c>
      <c r="AI77" s="144" t="s">
        <v>260</v>
      </c>
      <c r="AJ77" s="143" t="s">
        <v>286</v>
      </c>
      <c r="AK77" s="143" t="s">
        <v>287</v>
      </c>
      <c r="AL77" s="119" t="s">
        <v>291</v>
      </c>
      <c r="AM77" s="140"/>
    </row>
    <row r="78" spans="1:39" s="163" customFormat="1" ht="151.5" customHeight="1" x14ac:dyDescent="0.35">
      <c r="A78" s="369"/>
      <c r="B78" s="372"/>
      <c r="C78" s="375"/>
      <c r="D78" s="374"/>
      <c r="E78" s="346"/>
      <c r="F78" s="346"/>
      <c r="G78" s="346"/>
      <c r="H78" s="341"/>
      <c r="I78" s="346"/>
      <c r="J78" s="348"/>
      <c r="K78" s="351"/>
      <c r="L78" s="354"/>
      <c r="M78" s="356"/>
      <c r="N78" s="142"/>
      <c r="O78" s="351"/>
      <c r="P78" s="354"/>
      <c r="Q78" s="344"/>
      <c r="R78" s="130">
        <v>3</v>
      </c>
      <c r="S78" s="98" t="s">
        <v>341</v>
      </c>
      <c r="T78" s="131" t="str">
        <f t="shared" si="105"/>
        <v>Probabilidad</v>
      </c>
      <c r="U78" s="132" t="s">
        <v>14</v>
      </c>
      <c r="V78" s="132" t="s">
        <v>9</v>
      </c>
      <c r="W78" s="133" t="str">
        <f t="shared" si="106"/>
        <v>40%</v>
      </c>
      <c r="X78" s="132" t="s">
        <v>19</v>
      </c>
      <c r="Y78" s="132" t="s">
        <v>22</v>
      </c>
      <c r="Z78" s="132" t="s">
        <v>110</v>
      </c>
      <c r="AA78" s="134">
        <f>IFERROR(IF(T78="Probabilidad",(AA77-(+AA77*W78)),IF(T78="Impacto",L78,"")),"")</f>
        <v>0.10079999999999999</v>
      </c>
      <c r="AB78" s="135" t="str">
        <f t="shared" si="107"/>
        <v>Muy Baja</v>
      </c>
      <c r="AC78" s="136">
        <f t="shared" si="108"/>
        <v>0.10079999999999999</v>
      </c>
      <c r="AD78" s="135" t="str">
        <f t="shared" si="109"/>
        <v>Moderado</v>
      </c>
      <c r="AE78" s="136">
        <v>0.6</v>
      </c>
      <c r="AF78" s="137" t="str">
        <f t="shared" si="110"/>
        <v>Moderado</v>
      </c>
      <c r="AG78" s="138" t="s">
        <v>122</v>
      </c>
      <c r="AH78" s="119" t="s">
        <v>396</v>
      </c>
      <c r="AI78" s="144" t="s">
        <v>260</v>
      </c>
      <c r="AJ78" s="143" t="s">
        <v>286</v>
      </c>
      <c r="AK78" s="143" t="s">
        <v>287</v>
      </c>
      <c r="AL78" s="119" t="s">
        <v>291</v>
      </c>
      <c r="AM78" s="140"/>
    </row>
    <row r="79" spans="1:39" s="163" customFormat="1" ht="151.5" customHeight="1" x14ac:dyDescent="0.35">
      <c r="A79" s="369">
        <v>26</v>
      </c>
      <c r="B79" s="419" t="s">
        <v>292</v>
      </c>
      <c r="C79" s="373" t="s">
        <v>357</v>
      </c>
      <c r="D79" s="373" t="s">
        <v>398</v>
      </c>
      <c r="E79" s="345" t="s">
        <v>120</v>
      </c>
      <c r="F79" s="345" t="s">
        <v>293</v>
      </c>
      <c r="G79" s="345" t="s">
        <v>294</v>
      </c>
      <c r="H79" s="340" t="s">
        <v>553</v>
      </c>
      <c r="I79" s="345" t="s">
        <v>115</v>
      </c>
      <c r="J79" s="347">
        <v>2</v>
      </c>
      <c r="K79" s="349" t="str">
        <f>IF(J79&lt;=0,"",IF(J79&lt;=2,"Muy Baja",IF(J79&lt;=24,"Baja",IF(J79&lt;=500,"Media",IF(J79&lt;=5000,"Alta","Muy Alta")))))</f>
        <v>Muy Baja</v>
      </c>
      <c r="L79" s="352">
        <f>IF(K79="","",IF(K79="Muy Baja",0.2,IF(K79="Baja",0.4,IF(K79="Media",0.6,IF(K79="Alta",0.8,IF(K79="Muy Alta",1,))))))</f>
        <v>0.2</v>
      </c>
      <c r="M79" s="355" t="s">
        <v>484</v>
      </c>
      <c r="N79" s="129" t="str">
        <f>IF(NOT(ISERROR(MATCH(M79,'Tabla Impacto'!$B$221:$B$223,0))),'Tabla Impacto'!$F$223&amp;"Por favor no seleccionar los criterios de impacto(Afectación Económica o presupuestal y Pérdida Reputacional)",M79)</f>
        <v xml:space="preserve"> Entre 50 y 100 SMLMV </v>
      </c>
      <c r="O79" s="349" t="str">
        <f>IF(OR(N79='Tabla Impacto'!$C$11,N79='Tabla Impacto'!$D$11),"Leve",IF(OR(N79='Tabla Impacto'!$C$12,N79='Tabla Impacto'!$D$12),"Menor",IF(OR(N79='Tabla Impacto'!$C$13,N79='Tabla Impacto'!$D$13),"Moderado",IF(OR(N79='Tabla Impacto'!$C$14,N79='Tabla Impacto'!$D$14),"Mayor",IF(OR(N79='Tabla Impacto'!$C$15,N79='Tabla Impacto'!$D$15),"Catastrófico","")))))</f>
        <v>Moderado</v>
      </c>
      <c r="P79" s="352">
        <f>IF(O79="","",IF(O79="Leve",0.2,IF(O79="Menor",0.4,IF(O79="Moderado",0.6,IF(O79="Mayor",0.8,IF(O79="Catastrófico",1,))))))</f>
        <v>0.6</v>
      </c>
      <c r="Q79" s="342"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30">
        <v>1</v>
      </c>
      <c r="S79" s="98" t="s">
        <v>554</v>
      </c>
      <c r="T79" s="131" t="str">
        <f t="shared" si="25"/>
        <v>Probabilidad</v>
      </c>
      <c r="U79" s="132" t="s">
        <v>14</v>
      </c>
      <c r="V79" s="132" t="s">
        <v>9</v>
      </c>
      <c r="W79" s="133" t="str">
        <f t="shared" si="26"/>
        <v>40%</v>
      </c>
      <c r="X79" s="132" t="s">
        <v>20</v>
      </c>
      <c r="Y79" s="132" t="s">
        <v>22</v>
      </c>
      <c r="Z79" s="132" t="s">
        <v>110</v>
      </c>
      <c r="AA79" s="134">
        <f t="shared" si="27"/>
        <v>0.12</v>
      </c>
      <c r="AB79" s="135" t="str">
        <f t="shared" si="28"/>
        <v>Muy Baja</v>
      </c>
      <c r="AC79" s="136">
        <f t="shared" si="29"/>
        <v>0.12</v>
      </c>
      <c r="AD79" s="135" t="str">
        <f t="shared" si="30"/>
        <v>Moderado</v>
      </c>
      <c r="AE79" s="136">
        <f t="shared" si="31"/>
        <v>0.6</v>
      </c>
      <c r="AF79" s="137" t="str">
        <f t="shared" si="32"/>
        <v>Moderado</v>
      </c>
      <c r="AG79" s="138" t="s">
        <v>122</v>
      </c>
      <c r="AH79" s="119" t="s">
        <v>555</v>
      </c>
      <c r="AI79" s="127" t="s">
        <v>260</v>
      </c>
      <c r="AJ79" s="155">
        <v>44562</v>
      </c>
      <c r="AK79" s="156" t="s">
        <v>373</v>
      </c>
      <c r="AL79" s="119" t="s">
        <v>450</v>
      </c>
      <c r="AM79" s="140"/>
    </row>
    <row r="80" spans="1:39" s="163" customFormat="1" ht="151.5" customHeight="1" x14ac:dyDescent="0.35">
      <c r="A80" s="369"/>
      <c r="B80" s="420"/>
      <c r="C80" s="374"/>
      <c r="D80" s="374"/>
      <c r="E80" s="346"/>
      <c r="F80" s="346"/>
      <c r="G80" s="346"/>
      <c r="H80" s="341"/>
      <c r="I80" s="346"/>
      <c r="J80" s="348"/>
      <c r="K80" s="350"/>
      <c r="L80" s="353"/>
      <c r="M80" s="356"/>
      <c r="N80" s="142"/>
      <c r="O80" s="350"/>
      <c r="P80" s="353"/>
      <c r="Q80" s="343"/>
      <c r="R80" s="130">
        <v>2</v>
      </c>
      <c r="S80" s="98" t="s">
        <v>342</v>
      </c>
      <c r="T80" s="131" t="str">
        <f t="shared" ref="T80:T82" si="111">IF(OR(U80="Preventivo",U80="Detectivo"),"Probabilidad",IF(U80="Correctivo","Impacto",""))</f>
        <v>Probabilidad</v>
      </c>
      <c r="U80" s="132" t="s">
        <v>14</v>
      </c>
      <c r="V80" s="132" t="s">
        <v>9</v>
      </c>
      <c r="W80" s="133" t="str">
        <f t="shared" ref="W80:W82" si="112">IF(AND(U80="Preventivo",V80="Automático"),"50%",IF(AND(U80="Preventivo",V80="Manual"),"40%",IF(AND(U80="Detectivo",V80="Automático"),"40%",IF(AND(U80="Detectivo",V80="Manual"),"30%",IF(AND(U80="Correctivo",V80="Automático"),"35%",IF(AND(U80="Correctivo",V80="Manual"),"25%",""))))))</f>
        <v>40%</v>
      </c>
      <c r="X80" s="132" t="s">
        <v>19</v>
      </c>
      <c r="Y80" s="132" t="s">
        <v>22</v>
      </c>
      <c r="Z80" s="132" t="s">
        <v>110</v>
      </c>
      <c r="AA80" s="134">
        <f>IFERROR(IF(T80="Probabilidad",(AA79-(+AA79*W80)),IF(T80="Impacto",L80,"")),"")</f>
        <v>7.1999999999999995E-2</v>
      </c>
      <c r="AB80" s="135" t="str">
        <f t="shared" ref="AB80:AB82" si="113">IFERROR(IF(AA80="","",IF(AA80&lt;=0.2,"Muy Baja",IF(AA80&lt;=0.4,"Baja",IF(AA80&lt;=0.6,"Media",IF(AA80&lt;=0.8,"Alta","Muy Alta"))))),"")</f>
        <v>Muy Baja</v>
      </c>
      <c r="AC80" s="136">
        <f t="shared" ref="AC80:AC82" si="114">+AA80</f>
        <v>7.1999999999999995E-2</v>
      </c>
      <c r="AD80" s="135" t="str">
        <f t="shared" ref="AD80:AD82" si="115">IFERROR(IF(AE80="","",IF(AE80&lt;=0.2,"Leve",IF(AE80&lt;=0.4,"Menor",IF(AE80&lt;=0.6,"Moderado",IF(AE80&lt;=0.8,"Mayor","Catastrófico"))))),"")</f>
        <v>Moderado</v>
      </c>
      <c r="AE80" s="136">
        <f>+AE79</f>
        <v>0.6</v>
      </c>
      <c r="AF80" s="137" t="str">
        <f t="shared" ref="AF80:AF82"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38" t="s">
        <v>122</v>
      </c>
      <c r="AH80" s="119" t="s">
        <v>556</v>
      </c>
      <c r="AI80" s="127" t="s">
        <v>399</v>
      </c>
      <c r="AJ80" s="155">
        <v>44562</v>
      </c>
      <c r="AK80" s="156" t="s">
        <v>373</v>
      </c>
      <c r="AL80" s="119" t="s">
        <v>450</v>
      </c>
      <c r="AM80" s="140"/>
    </row>
    <row r="81" spans="1:39" s="163" customFormat="1" ht="151.5" customHeight="1" x14ac:dyDescent="0.35">
      <c r="A81" s="369"/>
      <c r="B81" s="421"/>
      <c r="C81" s="374"/>
      <c r="D81" s="374"/>
      <c r="E81" s="346"/>
      <c r="F81" s="346"/>
      <c r="G81" s="346"/>
      <c r="H81" s="341"/>
      <c r="I81" s="346"/>
      <c r="J81" s="348"/>
      <c r="K81" s="351"/>
      <c r="L81" s="354"/>
      <c r="M81" s="356"/>
      <c r="N81" s="142"/>
      <c r="O81" s="351"/>
      <c r="P81" s="354"/>
      <c r="Q81" s="344"/>
      <c r="R81" s="130">
        <v>3</v>
      </c>
      <c r="S81" s="139" t="s">
        <v>580</v>
      </c>
      <c r="T81" s="131" t="str">
        <f t="shared" si="111"/>
        <v>Probabilidad</v>
      </c>
      <c r="U81" s="132" t="s">
        <v>15</v>
      </c>
      <c r="V81" s="132" t="s">
        <v>9</v>
      </c>
      <c r="W81" s="133" t="str">
        <f t="shared" si="112"/>
        <v>30%</v>
      </c>
      <c r="X81" s="132" t="s">
        <v>20</v>
      </c>
      <c r="Y81" s="132" t="s">
        <v>23</v>
      </c>
      <c r="Z81" s="132" t="s">
        <v>111</v>
      </c>
      <c r="AA81" s="134">
        <f>IFERROR(IF(T81="Probabilidad",(AA80-(+AA80*W81)),IF(T81="Impacto",L81,"")),"")</f>
        <v>5.04E-2</v>
      </c>
      <c r="AB81" s="135" t="str">
        <f t="shared" si="113"/>
        <v>Muy Baja</v>
      </c>
      <c r="AC81" s="136">
        <f t="shared" si="114"/>
        <v>5.04E-2</v>
      </c>
      <c r="AD81" s="135" t="str">
        <f t="shared" si="115"/>
        <v>Moderado</v>
      </c>
      <c r="AE81" s="136">
        <f>+P79</f>
        <v>0.6</v>
      </c>
      <c r="AF81" s="137" t="str">
        <f t="shared" si="116"/>
        <v>Moderado</v>
      </c>
      <c r="AG81" s="138" t="s">
        <v>122</v>
      </c>
      <c r="AH81" s="119" t="s">
        <v>555</v>
      </c>
      <c r="AI81" s="127" t="s">
        <v>399</v>
      </c>
      <c r="AJ81" s="155">
        <v>44562</v>
      </c>
      <c r="AK81" s="156" t="s">
        <v>373</v>
      </c>
      <c r="AL81" s="119" t="s">
        <v>450</v>
      </c>
      <c r="AM81" s="140"/>
    </row>
    <row r="82" spans="1:39" s="163" customFormat="1" ht="151.5" customHeight="1" x14ac:dyDescent="0.35">
      <c r="A82" s="369">
        <v>27</v>
      </c>
      <c r="B82" s="419" t="s">
        <v>292</v>
      </c>
      <c r="C82" s="373" t="s">
        <v>357</v>
      </c>
      <c r="D82" s="373" t="s">
        <v>398</v>
      </c>
      <c r="E82" s="345" t="s">
        <v>118</v>
      </c>
      <c r="F82" s="345" t="s">
        <v>451</v>
      </c>
      <c r="G82" s="345" t="s">
        <v>452</v>
      </c>
      <c r="H82" s="340" t="s">
        <v>453</v>
      </c>
      <c r="I82" s="345" t="s">
        <v>328</v>
      </c>
      <c r="J82" s="347">
        <v>10</v>
      </c>
      <c r="K82" s="349" t="str">
        <f>IF(J82&lt;=0,"",IF(J82&lt;=2,"Muy Baja",IF(J82&lt;=24,"Baja",IF(J82&lt;=500,"Media",IF(J82&lt;=5000,"Alta","Muy Alta")))))</f>
        <v>Baja</v>
      </c>
      <c r="L82" s="352">
        <f>IF(K82="","",IF(K82="Muy Baja",0.2,IF(K82="Baja",0.4,IF(K82="Media",0.6,IF(K82="Alta",0.8,IF(K82="Muy Alta",1,))))))</f>
        <v>0.4</v>
      </c>
      <c r="M82" s="355" t="s">
        <v>485</v>
      </c>
      <c r="N82" s="129" t="str">
        <f>IF(NOT(ISERROR(MATCH(M82,'Tabla Impacto'!$B$221:$B$223,0))),'Tabla Impacto'!$F$223&amp;"Por favor no seleccionar los criterios de impacto(Afectación Económica o presupuestal y Pérdida Reputacional)",M82)</f>
        <v xml:space="preserve"> El riesgo afecta la imagen de la entidad con algunos usuarios de relevancia frente al logro de los objetivos</v>
      </c>
      <c r="O82" s="349" t="str">
        <f>IF(OR(N82='Tabla Impacto'!$C$11,N82='Tabla Impacto'!$D$11),"Leve",IF(OR(N82='Tabla Impacto'!$C$12,N82='Tabla Impacto'!$D$12),"Menor",IF(OR(N82='Tabla Impacto'!$C$13,N82='Tabla Impacto'!$D$13),"Moderado",IF(OR(N82='Tabla Impacto'!$C$14,N82='Tabla Impacto'!$D$14),"Mayor",IF(OR(N82='Tabla Impacto'!$C$15,N82='Tabla Impacto'!$D$15),"Catastrófico","")))))</f>
        <v>Moderado</v>
      </c>
      <c r="P82" s="352">
        <f>IF(O82="","",IF(O82="Leve",0.2,IF(O82="Menor",0.4,IF(O82="Moderado",0.6,IF(O82="Mayor",0.8,IF(O82="Catastrófico",1,))))))</f>
        <v>0.6</v>
      </c>
      <c r="Q82" s="342"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30">
        <v>1</v>
      </c>
      <c r="S82" s="119" t="s">
        <v>458</v>
      </c>
      <c r="T82" s="158" t="str">
        <f t="shared" si="111"/>
        <v>Probabilidad</v>
      </c>
      <c r="U82" s="146" t="s">
        <v>15</v>
      </c>
      <c r="V82" s="146" t="s">
        <v>9</v>
      </c>
      <c r="W82" s="147" t="str">
        <f t="shared" si="112"/>
        <v>30%</v>
      </c>
      <c r="X82" s="146" t="s">
        <v>20</v>
      </c>
      <c r="Y82" s="146" t="s">
        <v>23</v>
      </c>
      <c r="Z82" s="146" t="s">
        <v>111</v>
      </c>
      <c r="AA82" s="148">
        <f t="shared" ref="AA82" si="117">IFERROR(IF(T82="Probabilidad",(L82-(+L82*W82)),IF(T82="Impacto",L82,"")),"")</f>
        <v>0.28000000000000003</v>
      </c>
      <c r="AB82" s="135" t="str">
        <f t="shared" si="113"/>
        <v>Baja</v>
      </c>
      <c r="AC82" s="149">
        <f t="shared" si="114"/>
        <v>0.28000000000000003</v>
      </c>
      <c r="AD82" s="135" t="str">
        <f t="shared" si="115"/>
        <v>Moderado</v>
      </c>
      <c r="AE82" s="149">
        <f t="shared" ref="AE82" si="118">IFERROR(IF(T82="Impacto",(P82-(+P82*W82)),IF(T82="Probabilidad",P82,"")),"")</f>
        <v>0.6</v>
      </c>
      <c r="AF82" s="150" t="str">
        <f t="shared" si="116"/>
        <v>Moderado</v>
      </c>
      <c r="AG82" s="151" t="s">
        <v>122</v>
      </c>
      <c r="AH82" s="119" t="s">
        <v>557</v>
      </c>
      <c r="AI82" s="127" t="s">
        <v>198</v>
      </c>
      <c r="AJ82" s="155">
        <v>44562</v>
      </c>
      <c r="AK82" s="156" t="s">
        <v>373</v>
      </c>
      <c r="AL82" s="119" t="s">
        <v>454</v>
      </c>
      <c r="AM82" s="140"/>
    </row>
    <row r="83" spans="1:39" s="163" customFormat="1" ht="151.5" customHeight="1" x14ac:dyDescent="0.35">
      <c r="A83" s="369"/>
      <c r="B83" s="420"/>
      <c r="C83" s="374"/>
      <c r="D83" s="374"/>
      <c r="E83" s="346"/>
      <c r="F83" s="346"/>
      <c r="G83" s="346"/>
      <c r="H83" s="341"/>
      <c r="I83" s="346"/>
      <c r="J83" s="348"/>
      <c r="K83" s="350"/>
      <c r="L83" s="353"/>
      <c r="M83" s="356"/>
      <c r="N83" s="142"/>
      <c r="O83" s="350"/>
      <c r="P83" s="353"/>
      <c r="Q83" s="343"/>
      <c r="R83" s="159">
        <v>2</v>
      </c>
      <c r="S83" s="119"/>
      <c r="T83" s="158"/>
      <c r="U83" s="146"/>
      <c r="V83" s="146"/>
      <c r="W83" s="147"/>
      <c r="X83" s="146"/>
      <c r="Y83" s="146"/>
      <c r="Z83" s="146"/>
      <c r="AA83" s="148"/>
      <c r="AB83" s="135"/>
      <c r="AC83" s="149"/>
      <c r="AD83" s="135"/>
      <c r="AE83" s="149"/>
      <c r="AF83" s="150"/>
      <c r="AG83" s="151"/>
      <c r="AH83" s="119"/>
      <c r="AI83" s="127"/>
      <c r="AJ83" s="155"/>
      <c r="AK83" s="156"/>
      <c r="AL83" s="119"/>
      <c r="AM83" s="140"/>
    </row>
    <row r="84" spans="1:39" s="163" customFormat="1" ht="151.5" customHeight="1" x14ac:dyDescent="0.35">
      <c r="A84" s="369"/>
      <c r="B84" s="421"/>
      <c r="C84" s="374"/>
      <c r="D84" s="374"/>
      <c r="E84" s="346"/>
      <c r="F84" s="346"/>
      <c r="G84" s="346"/>
      <c r="H84" s="341"/>
      <c r="I84" s="346"/>
      <c r="J84" s="348"/>
      <c r="K84" s="351"/>
      <c r="L84" s="354"/>
      <c r="M84" s="356"/>
      <c r="N84" s="142"/>
      <c r="O84" s="351"/>
      <c r="P84" s="354"/>
      <c r="Q84" s="344"/>
      <c r="R84" s="159">
        <v>3</v>
      </c>
      <c r="S84" s="119"/>
      <c r="T84" s="158"/>
      <c r="U84" s="146"/>
      <c r="V84" s="146"/>
      <c r="W84" s="147"/>
      <c r="X84" s="146"/>
      <c r="Y84" s="146"/>
      <c r="Z84" s="146"/>
      <c r="AA84" s="148"/>
      <c r="AB84" s="135"/>
      <c r="AC84" s="149"/>
      <c r="AD84" s="135"/>
      <c r="AE84" s="149"/>
      <c r="AF84" s="150"/>
      <c r="AG84" s="151"/>
      <c r="AH84" s="119"/>
      <c r="AI84" s="127"/>
      <c r="AJ84" s="155"/>
      <c r="AK84" s="156"/>
      <c r="AL84" s="119"/>
      <c r="AM84" s="140"/>
    </row>
    <row r="85" spans="1:39" s="163" customFormat="1" ht="151.5" customHeight="1" x14ac:dyDescent="0.35">
      <c r="A85" s="369">
        <v>28</v>
      </c>
      <c r="B85" s="370" t="s">
        <v>296</v>
      </c>
      <c r="C85" s="373" t="s">
        <v>295</v>
      </c>
      <c r="D85" s="373" t="s">
        <v>297</v>
      </c>
      <c r="E85" s="345" t="s">
        <v>118</v>
      </c>
      <c r="F85" s="345" t="s">
        <v>298</v>
      </c>
      <c r="G85" s="345" t="s">
        <v>455</v>
      </c>
      <c r="H85" s="340" t="s">
        <v>299</v>
      </c>
      <c r="I85" s="345" t="s">
        <v>115</v>
      </c>
      <c r="J85" s="347">
        <v>355</v>
      </c>
      <c r="K85" s="349" t="str">
        <f>IF(J85&lt;=0,"",IF(J85&lt;=2,"Muy Baja",IF(J85&lt;=24,"Baja",IF(J85&lt;=500,"Media",IF(J85&lt;=5000,"Alta","Muy Alta")))))</f>
        <v>Media</v>
      </c>
      <c r="L85" s="352">
        <f>IF(K85="","",IF(K85="Muy Baja",0.2,IF(K85="Baja",0.4,IF(K85="Media",0.6,IF(K85="Alta",0.8,IF(K85="Muy Alta",1,))))))</f>
        <v>0.6</v>
      </c>
      <c r="M85" s="355" t="s">
        <v>492</v>
      </c>
      <c r="N85" s="129" t="str">
        <f>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49" t="str">
        <f>IF(OR(N85='Tabla Impacto'!$C$11,N85='Tabla Impacto'!$D$11),"Leve",IF(OR(N85='Tabla Impacto'!$C$12,N85='Tabla Impacto'!$D$12),"Menor",IF(OR(N85='Tabla Impacto'!$C$13,N85='Tabla Impacto'!$D$13),"Moderado",IF(OR(N85='Tabla Impacto'!$C$14,N85='Tabla Impacto'!$D$14),"Mayor",IF(OR(N85='Tabla Impacto'!$C$15,N85='Tabla Impacto'!$D$15),"Catastrófico","")))))</f>
        <v>Mayor</v>
      </c>
      <c r="P85" s="352">
        <f>IF(O85="","",IF(O85="Leve",0.2,IF(O85="Menor",0.4,IF(O85="Moderado",0.6,IF(O85="Mayor",0.8,IF(O85="Catastrófico",1,))))))</f>
        <v>0.8</v>
      </c>
      <c r="Q85" s="342"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30">
        <v>1</v>
      </c>
      <c r="S85" s="98" t="s">
        <v>456</v>
      </c>
      <c r="T85" s="131" t="str">
        <f t="shared" si="25"/>
        <v>Probabilidad</v>
      </c>
      <c r="U85" s="132" t="s">
        <v>14</v>
      </c>
      <c r="V85" s="132" t="s">
        <v>9</v>
      </c>
      <c r="W85" s="133" t="str">
        <f t="shared" si="26"/>
        <v>40%</v>
      </c>
      <c r="X85" s="132" t="s">
        <v>20</v>
      </c>
      <c r="Y85" s="132" t="s">
        <v>22</v>
      </c>
      <c r="Z85" s="132" t="s">
        <v>110</v>
      </c>
      <c r="AA85" s="134">
        <f t="shared" si="27"/>
        <v>0.36</v>
      </c>
      <c r="AB85" s="135" t="str">
        <f t="shared" si="28"/>
        <v>Baja</v>
      </c>
      <c r="AC85" s="136">
        <f t="shared" si="29"/>
        <v>0.36</v>
      </c>
      <c r="AD85" s="135" t="str">
        <f t="shared" si="30"/>
        <v>Mayor</v>
      </c>
      <c r="AE85" s="136">
        <f t="shared" si="31"/>
        <v>0.8</v>
      </c>
      <c r="AF85" s="137" t="str">
        <f t="shared" si="32"/>
        <v>Alto</v>
      </c>
      <c r="AG85" s="138" t="s">
        <v>122</v>
      </c>
      <c r="AH85" s="119" t="s">
        <v>457</v>
      </c>
      <c r="AI85" s="127" t="s">
        <v>260</v>
      </c>
      <c r="AJ85" s="143" t="s">
        <v>199</v>
      </c>
      <c r="AK85" s="143" t="s">
        <v>199</v>
      </c>
      <c r="AL85" s="126" t="s">
        <v>300</v>
      </c>
      <c r="AM85" s="140"/>
    </row>
    <row r="86" spans="1:39" s="163" customFormat="1" ht="151.5" customHeight="1" x14ac:dyDescent="0.35">
      <c r="A86" s="369"/>
      <c r="B86" s="371"/>
      <c r="C86" s="375"/>
      <c r="D86" s="375"/>
      <c r="E86" s="346"/>
      <c r="F86" s="346"/>
      <c r="G86" s="346"/>
      <c r="H86" s="341"/>
      <c r="I86" s="346"/>
      <c r="J86" s="348"/>
      <c r="K86" s="350"/>
      <c r="L86" s="353"/>
      <c r="M86" s="356"/>
      <c r="N86" s="142"/>
      <c r="O86" s="350"/>
      <c r="P86" s="353"/>
      <c r="Q86" s="343"/>
      <c r="R86" s="130">
        <v>2</v>
      </c>
      <c r="S86" s="98"/>
      <c r="T86" s="131" t="str">
        <f t="shared" ref="T86:T87" si="119">IF(OR(U86="Preventivo",U86="Detectivo"),"Probabilidad",IF(U86="Correctivo","Impacto",""))</f>
        <v/>
      </c>
      <c r="U86" s="132"/>
      <c r="V86" s="132"/>
      <c r="W86" s="133"/>
      <c r="X86" s="132"/>
      <c r="Y86" s="132"/>
      <c r="Z86" s="132"/>
      <c r="AA86" s="134" t="str">
        <f>IFERROR(IF(T86="Probabilidad",(AA85-(+AA85*W86)),IF(T86="Impacto",L86,"")),"")</f>
        <v/>
      </c>
      <c r="AB86" s="135" t="str">
        <f t="shared" ref="AB86:AB87" si="120">IFERROR(IF(AA86="","",IF(AA86&lt;=0.2,"Muy Baja",IF(AA86&lt;=0.4,"Baja",IF(AA86&lt;=0.6,"Media",IF(AA86&lt;=0.8,"Alta","Muy Alta"))))),"")</f>
        <v/>
      </c>
      <c r="AC86" s="136" t="str">
        <f t="shared" ref="AC86:AC87" si="121">+AA86</f>
        <v/>
      </c>
      <c r="AD86" s="135" t="str">
        <f t="shared" ref="AD86:AD87" si="122">IFERROR(IF(AE86="","",IF(AE86&lt;=0.2,"Leve",IF(AE86&lt;=0.4,"Menor",IF(AE86&lt;=0.6,"Moderado",IF(AE86&lt;=0.8,"Mayor","Catastrófico"))))),"")</f>
        <v/>
      </c>
      <c r="AE86" s="136" t="str">
        <f t="shared" ref="AE86:AE87" si="123">IFERROR(IF(T86="Impacto",(P86-(+P86*W86)),IF(T86="Probabilidad",P86,"")),"")</f>
        <v/>
      </c>
      <c r="AF86" s="137" t="str">
        <f t="shared" ref="AF86:AF87" si="124">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
      </c>
      <c r="AG86" s="138"/>
      <c r="AH86" s="119"/>
      <c r="AI86" s="127"/>
      <c r="AJ86" s="143"/>
      <c r="AK86" s="143"/>
      <c r="AL86" s="119"/>
      <c r="AM86" s="140"/>
    </row>
    <row r="87" spans="1:39" s="163" customFormat="1" ht="151.5" customHeight="1" x14ac:dyDescent="0.35">
      <c r="A87" s="369"/>
      <c r="B87" s="372"/>
      <c r="C87" s="432"/>
      <c r="D87" s="375"/>
      <c r="E87" s="346"/>
      <c r="F87" s="346"/>
      <c r="G87" s="346"/>
      <c r="H87" s="341"/>
      <c r="I87" s="346"/>
      <c r="J87" s="348"/>
      <c r="K87" s="351"/>
      <c r="L87" s="354"/>
      <c r="M87" s="356"/>
      <c r="N87" s="142"/>
      <c r="O87" s="351"/>
      <c r="P87" s="354"/>
      <c r="Q87" s="344"/>
      <c r="R87" s="130">
        <v>3</v>
      </c>
      <c r="S87" s="98"/>
      <c r="T87" s="131" t="str">
        <f t="shared" si="119"/>
        <v/>
      </c>
      <c r="U87" s="132"/>
      <c r="V87" s="132"/>
      <c r="W87" s="133"/>
      <c r="X87" s="132"/>
      <c r="Y87" s="132"/>
      <c r="Z87" s="132"/>
      <c r="AA87" s="134" t="str">
        <f>IFERROR(IF(T87="Probabilidad",(AA86-(+AA86*W87)),IF(T87="Impacto",L87,"")),"")</f>
        <v/>
      </c>
      <c r="AB87" s="135" t="str">
        <f t="shared" si="120"/>
        <v/>
      </c>
      <c r="AC87" s="136" t="str">
        <f t="shared" si="121"/>
        <v/>
      </c>
      <c r="AD87" s="135" t="str">
        <f t="shared" si="122"/>
        <v/>
      </c>
      <c r="AE87" s="136" t="str">
        <f t="shared" si="123"/>
        <v/>
      </c>
      <c r="AF87" s="137" t="str">
        <f t="shared" si="124"/>
        <v/>
      </c>
      <c r="AG87" s="138"/>
      <c r="AH87" s="119"/>
      <c r="AI87" s="127"/>
      <c r="AJ87" s="143"/>
      <c r="AK87" s="143"/>
      <c r="AL87" s="119"/>
      <c r="AM87" s="140"/>
    </row>
    <row r="88" spans="1:39" s="163" customFormat="1" ht="176.5" customHeight="1" x14ac:dyDescent="0.35">
      <c r="A88" s="369">
        <v>29</v>
      </c>
      <c r="B88" s="370" t="s">
        <v>296</v>
      </c>
      <c r="C88" s="373" t="s">
        <v>295</v>
      </c>
      <c r="D88" s="373" t="s">
        <v>297</v>
      </c>
      <c r="E88" s="345" t="s">
        <v>118</v>
      </c>
      <c r="F88" s="345" t="s">
        <v>459</v>
      </c>
      <c r="G88" s="345" t="s">
        <v>460</v>
      </c>
      <c r="H88" s="340" t="s">
        <v>496</v>
      </c>
      <c r="I88" s="345" t="s">
        <v>328</v>
      </c>
      <c r="J88" s="347">
        <v>355</v>
      </c>
      <c r="K88" s="349" t="str">
        <f>IF(J88&lt;=0,"",IF(J88&lt;=2,"Muy Baja",IF(J88&lt;=24,"Baja",IF(J88&lt;=500,"Media",IF(J88&lt;=5000,"Alta","Muy Alta")))))</f>
        <v>Media</v>
      </c>
      <c r="L88" s="352">
        <f>IF(K88="","",IF(K88="Muy Baja",0.2,IF(K88="Baja",0.4,IF(K88="Media",0.6,IF(K88="Alta",0.8,IF(K88="Muy Alta",1,))))))</f>
        <v>0.6</v>
      </c>
      <c r="M88" s="355" t="s">
        <v>492</v>
      </c>
      <c r="N88" s="129"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49" t="str">
        <f>IF(OR(N88='Tabla Impacto'!$C$11,N88='Tabla Impacto'!$D$11),"Leve",IF(OR(N88='Tabla Impacto'!$C$12,N88='Tabla Impacto'!$D$12),"Menor",IF(OR(N88='Tabla Impacto'!$C$13,N88='Tabla Impacto'!$D$13),"Moderado",IF(OR(N88='Tabla Impacto'!$C$14,N88='Tabla Impacto'!$D$14),"Mayor",IF(OR(N88='Tabla Impacto'!$C$15,N88='Tabla Impacto'!$D$15),"Catastrófico","")))))</f>
        <v>Mayor</v>
      </c>
      <c r="P88" s="352">
        <f>IF(O88="","",IF(O88="Leve",0.2,IF(O88="Menor",0.4,IF(O88="Moderado",0.6,IF(O88="Mayor",0.8,IF(O88="Catastrófico",1,))))))</f>
        <v>0.8</v>
      </c>
      <c r="Q88" s="342"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30">
        <v>1</v>
      </c>
      <c r="S88" s="98" t="s">
        <v>461</v>
      </c>
      <c r="T88" s="131" t="str">
        <f t="shared" si="25"/>
        <v>Probabilidad</v>
      </c>
      <c r="U88" s="132" t="s">
        <v>14</v>
      </c>
      <c r="V88" s="132" t="s">
        <v>9</v>
      </c>
      <c r="W88" s="133" t="str">
        <f t="shared" si="26"/>
        <v>40%</v>
      </c>
      <c r="X88" s="132" t="s">
        <v>19</v>
      </c>
      <c r="Y88" s="132" t="s">
        <v>22</v>
      </c>
      <c r="Z88" s="132" t="s">
        <v>110</v>
      </c>
      <c r="AA88" s="160">
        <f t="shared" ref="AA88" si="125">IFERROR(IF(T88="Probabilidad",(L88-(+L88*W88)),IF(T88="Impacto",L88,"")),"")</f>
        <v>0.36</v>
      </c>
      <c r="AB88" s="135" t="str">
        <f t="shared" si="28"/>
        <v>Baja</v>
      </c>
      <c r="AC88" s="136">
        <f t="shared" si="29"/>
        <v>0.36</v>
      </c>
      <c r="AD88" s="135" t="str">
        <f t="shared" si="30"/>
        <v>Mayor</v>
      </c>
      <c r="AE88" s="136">
        <f t="shared" si="31"/>
        <v>0.8</v>
      </c>
      <c r="AF88" s="137" t="str">
        <f t="shared" si="32"/>
        <v>Alto</v>
      </c>
      <c r="AG88" s="138" t="s">
        <v>122</v>
      </c>
      <c r="AH88" s="119" t="s">
        <v>301</v>
      </c>
      <c r="AI88" s="121" t="s">
        <v>260</v>
      </c>
      <c r="AJ88" s="128" t="s">
        <v>199</v>
      </c>
      <c r="AK88" s="128" t="s">
        <v>199</v>
      </c>
      <c r="AL88" s="126" t="s">
        <v>400</v>
      </c>
      <c r="AM88" s="140"/>
    </row>
    <row r="89" spans="1:39" s="163" customFormat="1" ht="151.5" customHeight="1" x14ac:dyDescent="0.35">
      <c r="A89" s="369"/>
      <c r="B89" s="371"/>
      <c r="C89" s="375"/>
      <c r="D89" s="375"/>
      <c r="E89" s="346"/>
      <c r="F89" s="346"/>
      <c r="G89" s="346"/>
      <c r="H89" s="341"/>
      <c r="I89" s="346"/>
      <c r="J89" s="348"/>
      <c r="K89" s="350"/>
      <c r="L89" s="353"/>
      <c r="M89" s="356"/>
      <c r="N89" s="142"/>
      <c r="O89" s="350"/>
      <c r="P89" s="353"/>
      <c r="Q89" s="343"/>
      <c r="R89" s="130">
        <v>2</v>
      </c>
      <c r="S89" s="119" t="s">
        <v>343</v>
      </c>
      <c r="T89" s="158" t="str">
        <f t="shared" ref="T89:T90" si="126">IF(OR(U89="Preventivo",U89="Detectivo"),"Probabilidad",IF(U89="Correctivo","Impacto",""))</f>
        <v/>
      </c>
      <c r="U89" s="146" t="s">
        <v>332</v>
      </c>
      <c r="V89" s="146" t="s">
        <v>9</v>
      </c>
      <c r="W89" s="147" t="str">
        <f t="shared" ref="W89" si="127">IF(AND(U89="Preventivo",V89="Automático"),"50%",IF(AND(U89="Preventivo",V89="Manual"),"40%",IF(AND(U89="Detectivo",V89="Automático"),"40%",IF(AND(U89="Detectivo",V89="Manual"),"30%",IF(AND(U89="Correctivo",V89="Automático"),"35%",IF(AND(U89="Correctivo",V89="Manual"),"25%",""))))))</f>
        <v/>
      </c>
      <c r="X89" s="146" t="s">
        <v>20</v>
      </c>
      <c r="Y89" s="146" t="s">
        <v>22</v>
      </c>
      <c r="Z89" s="146" t="s">
        <v>110</v>
      </c>
      <c r="AA89" s="161" t="str">
        <f>IFERROR(IF(T89="Probabilidad",(AA88-(+AA88*W89)),IF(T89="Impacto",L89,"")),"")</f>
        <v/>
      </c>
      <c r="AB89" s="135" t="str">
        <f t="shared" ref="AB89:AB90" si="128">IFERROR(IF(AA89="","",IF(AA89&lt;=0.2,"Muy Baja",IF(AA89&lt;=0.4,"Baja",IF(AA89&lt;=0.6,"Media",IF(AA89&lt;=0.8,"Alta","Muy Alta"))))),"")</f>
        <v/>
      </c>
      <c r="AC89" s="149" t="str">
        <f t="shared" ref="AC89:AC90" si="129">+AA89</f>
        <v/>
      </c>
      <c r="AD89" s="135" t="str">
        <f t="shared" ref="AD89:AD90" si="130">IFERROR(IF(AE89="","",IF(AE89&lt;=0.2,"Leve",IF(AE89&lt;=0.4,"Menor",IF(AE89&lt;=0.6,"Moderado",IF(AE89&lt;=0.8,"Mayor","Catastrófico"))))),"")</f>
        <v/>
      </c>
      <c r="AE89" s="149" t="str">
        <f t="shared" ref="AE89:AE90" si="131">IFERROR(IF(T89="Impacto",(P89-(+P89*W89)),IF(T89="Probabilidad",P89,"")),"")</f>
        <v/>
      </c>
      <c r="AF89" s="150" t="str">
        <f t="shared" ref="AF89:AF90" si="132">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51" t="s">
        <v>122</v>
      </c>
      <c r="AH89" s="119" t="s">
        <v>301</v>
      </c>
      <c r="AI89" s="121" t="s">
        <v>260</v>
      </c>
      <c r="AJ89" s="128" t="s">
        <v>199</v>
      </c>
      <c r="AK89" s="128" t="s">
        <v>199</v>
      </c>
      <c r="AL89" s="126" t="s">
        <v>400</v>
      </c>
      <c r="AM89" s="140"/>
    </row>
    <row r="90" spans="1:39" s="163" customFormat="1" ht="151.5" customHeight="1" x14ac:dyDescent="0.35">
      <c r="A90" s="369"/>
      <c r="B90" s="372"/>
      <c r="C90" s="432"/>
      <c r="D90" s="375"/>
      <c r="E90" s="346"/>
      <c r="F90" s="346"/>
      <c r="G90" s="346"/>
      <c r="H90" s="341"/>
      <c r="I90" s="346"/>
      <c r="J90" s="348"/>
      <c r="K90" s="351"/>
      <c r="L90" s="354"/>
      <c r="M90" s="356"/>
      <c r="N90" s="142"/>
      <c r="O90" s="351"/>
      <c r="P90" s="354"/>
      <c r="Q90" s="344"/>
      <c r="R90" s="130">
        <v>3</v>
      </c>
      <c r="S90" s="98"/>
      <c r="T90" s="131" t="str">
        <f t="shared" si="126"/>
        <v/>
      </c>
      <c r="U90" s="132"/>
      <c r="V90" s="132"/>
      <c r="W90" s="133"/>
      <c r="X90" s="132"/>
      <c r="Y90" s="132"/>
      <c r="Z90" s="132"/>
      <c r="AA90" s="134" t="str">
        <f>IFERROR(IF(T90="Probabilidad",(AA89-(+AA89*W90)),IF(T90="Impacto",L90,"")),"")</f>
        <v/>
      </c>
      <c r="AB90" s="135" t="str">
        <f t="shared" si="128"/>
        <v/>
      </c>
      <c r="AC90" s="136" t="str">
        <f t="shared" si="129"/>
        <v/>
      </c>
      <c r="AD90" s="135" t="str">
        <f t="shared" si="130"/>
        <v/>
      </c>
      <c r="AE90" s="136" t="str">
        <f t="shared" si="131"/>
        <v/>
      </c>
      <c r="AF90" s="137" t="str">
        <f t="shared" si="132"/>
        <v/>
      </c>
      <c r="AG90" s="138"/>
      <c r="AH90" s="119"/>
      <c r="AI90" s="127"/>
      <c r="AJ90" s="143"/>
      <c r="AK90" s="143"/>
      <c r="AL90" s="119"/>
      <c r="AM90" s="140"/>
    </row>
    <row r="91" spans="1:39" s="163" customFormat="1" ht="151.5" customHeight="1" x14ac:dyDescent="0.35">
      <c r="A91" s="369">
        <v>30</v>
      </c>
      <c r="B91" s="370" t="s">
        <v>302</v>
      </c>
      <c r="C91" s="373" t="s">
        <v>358</v>
      </c>
      <c r="D91" s="373" t="s">
        <v>401</v>
      </c>
      <c r="E91" s="345" t="s">
        <v>120</v>
      </c>
      <c r="F91" s="398" t="s">
        <v>463</v>
      </c>
      <c r="G91" s="398" t="s">
        <v>462</v>
      </c>
      <c r="H91" s="340" t="s">
        <v>303</v>
      </c>
      <c r="I91" s="345" t="s">
        <v>328</v>
      </c>
      <c r="J91" s="347">
        <v>850</v>
      </c>
      <c r="K91" s="349" t="str">
        <f>IF(J91&lt;=0,"",IF(J91&lt;=2,"Muy Baja",IF(J91&lt;=24,"Baja",IF(J91&lt;=500,"Media",IF(J91&lt;=5000,"Alta","Muy Alta")))))</f>
        <v>Alta</v>
      </c>
      <c r="L91" s="352">
        <f>IF(K91="","",IF(K91="Muy Baja",0.2,IF(K91="Baja",0.4,IF(K91="Media",0.6,IF(K91="Alta",0.8,IF(K91="Muy Alta",1,))))))</f>
        <v>0.8</v>
      </c>
      <c r="M91" s="355" t="s">
        <v>492</v>
      </c>
      <c r="N91" s="129"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49" t="str">
        <f>IF(OR(N91='Tabla Impacto'!$C$11,N91='Tabla Impacto'!$D$11),"Leve",IF(OR(N91='Tabla Impacto'!$C$12,N91='Tabla Impacto'!$D$12),"Menor",IF(OR(N91='Tabla Impacto'!$C$13,N91='Tabla Impacto'!$D$13),"Moderado",IF(OR(N91='Tabla Impacto'!$C$14,N91='Tabla Impacto'!$D$14),"Mayor",IF(OR(N91='Tabla Impacto'!$C$15,N91='Tabla Impacto'!$D$15),"Catastrófico","")))))</f>
        <v>Mayor</v>
      </c>
      <c r="P91" s="352">
        <f>IF(O91="","",IF(O91="Leve",0.2,IF(O91="Menor",0.4,IF(O91="Moderado",0.6,IF(O91="Mayor",0.8,IF(O91="Catastrófico",1,))))))</f>
        <v>0.8</v>
      </c>
      <c r="Q91" s="342"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30">
        <v>1</v>
      </c>
      <c r="S91" s="98" t="s">
        <v>304</v>
      </c>
      <c r="T91" s="131" t="str">
        <f t="shared" ref="T91:T93" si="133">IF(OR(U91="Preventivo",U91="Detectivo"),"Probabilidad",IF(U91="Correctivo","Impacto",""))</f>
        <v>Probabilidad</v>
      </c>
      <c r="U91" s="132" t="s">
        <v>14</v>
      </c>
      <c r="V91" s="132" t="s">
        <v>9</v>
      </c>
      <c r="W91" s="133" t="str">
        <f t="shared" ref="W91:W92" si="134">IF(AND(U91="Preventivo",V91="Automático"),"50%",IF(AND(U91="Preventivo",V91="Manual"),"40%",IF(AND(U91="Detectivo",V91="Automático"),"40%",IF(AND(U91="Detectivo",V91="Manual"),"30%",IF(AND(U91="Correctivo",V91="Automático"),"35%",IF(AND(U91="Correctivo",V91="Manual"),"25%",""))))))</f>
        <v>40%</v>
      </c>
      <c r="X91" s="132" t="s">
        <v>20</v>
      </c>
      <c r="Y91" s="132" t="s">
        <v>22</v>
      </c>
      <c r="Z91" s="132" t="s">
        <v>110</v>
      </c>
      <c r="AA91" s="134">
        <f t="shared" ref="AA91" si="135">IFERROR(IF(T91="Probabilidad",(L91-(+L91*W91)),IF(T91="Impacto",L91,"")),"")</f>
        <v>0.48</v>
      </c>
      <c r="AB91" s="135" t="str">
        <f t="shared" ref="AB91:AB93" si="136">IFERROR(IF(AA91="","",IF(AA91&lt;=0.2,"Muy Baja",IF(AA91&lt;=0.4,"Baja",IF(AA91&lt;=0.6,"Media",IF(AA91&lt;=0.8,"Alta","Muy Alta"))))),"")</f>
        <v>Media</v>
      </c>
      <c r="AC91" s="136">
        <f t="shared" ref="AC91:AC93" si="137">+AA91</f>
        <v>0.48</v>
      </c>
      <c r="AD91" s="135" t="str">
        <f t="shared" ref="AD91:AD93" si="138">IFERROR(IF(AE91="","",IF(AE91&lt;=0.2,"Leve",IF(AE91&lt;=0.4,"Menor",IF(AE91&lt;=0.6,"Moderado",IF(AE91&lt;=0.8,"Mayor","Catastrófico"))))),"")</f>
        <v>Mayor</v>
      </c>
      <c r="AE91" s="136">
        <f t="shared" ref="AE91:AE93" si="139">IFERROR(IF(T91="Impacto",(P91-(+P91*W91)),IF(T91="Probabilidad",P91,"")),"")</f>
        <v>0.8</v>
      </c>
      <c r="AF91" s="137" t="str">
        <f t="shared" ref="AF91:AF93" si="140">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Alto</v>
      </c>
      <c r="AG91" s="138" t="s">
        <v>122</v>
      </c>
      <c r="AH91" s="162" t="s">
        <v>306</v>
      </c>
      <c r="AI91" s="127" t="s">
        <v>198</v>
      </c>
      <c r="AJ91" s="128">
        <v>44562</v>
      </c>
      <c r="AK91" s="128" t="s">
        <v>373</v>
      </c>
      <c r="AL91" s="119" t="s">
        <v>307</v>
      </c>
      <c r="AM91" s="140"/>
    </row>
    <row r="92" spans="1:39" s="163" customFormat="1" ht="151.5" customHeight="1" x14ac:dyDescent="0.35">
      <c r="A92" s="369"/>
      <c r="B92" s="371"/>
      <c r="C92" s="375"/>
      <c r="D92" s="375"/>
      <c r="E92" s="346"/>
      <c r="F92" s="346"/>
      <c r="G92" s="346"/>
      <c r="H92" s="341"/>
      <c r="I92" s="346"/>
      <c r="J92" s="348"/>
      <c r="K92" s="350"/>
      <c r="L92" s="353"/>
      <c r="M92" s="356"/>
      <c r="N92" s="142"/>
      <c r="O92" s="350"/>
      <c r="P92" s="353"/>
      <c r="Q92" s="343"/>
      <c r="R92" s="130">
        <v>2</v>
      </c>
      <c r="S92" s="98" t="s">
        <v>305</v>
      </c>
      <c r="T92" s="131" t="str">
        <f t="shared" si="133"/>
        <v>Probabilidad</v>
      </c>
      <c r="U92" s="132" t="s">
        <v>14</v>
      </c>
      <c r="V92" s="132" t="s">
        <v>9</v>
      </c>
      <c r="W92" s="133" t="str">
        <f t="shared" si="134"/>
        <v>40%</v>
      </c>
      <c r="X92" s="132" t="s">
        <v>20</v>
      </c>
      <c r="Y92" s="132" t="s">
        <v>22</v>
      </c>
      <c r="Z92" s="132" t="s">
        <v>110</v>
      </c>
      <c r="AA92" s="134">
        <f>IFERROR(IF(T92="Probabilidad",(AA91-(+AA91*W92)),IF(T92="Impacto",L92,"")),"")</f>
        <v>0.28799999999999998</v>
      </c>
      <c r="AB92" s="135" t="str">
        <f t="shared" si="136"/>
        <v>Baja</v>
      </c>
      <c r="AC92" s="136">
        <f t="shared" si="137"/>
        <v>0.28799999999999998</v>
      </c>
      <c r="AD92" s="135" t="str">
        <f t="shared" si="138"/>
        <v>Mayor</v>
      </c>
      <c r="AE92" s="136">
        <v>0.8</v>
      </c>
      <c r="AF92" s="137" t="str">
        <f t="shared" si="140"/>
        <v>Alto</v>
      </c>
      <c r="AG92" s="138" t="s">
        <v>122</v>
      </c>
      <c r="AH92" s="126" t="s">
        <v>308</v>
      </c>
      <c r="AI92" s="121" t="s">
        <v>198</v>
      </c>
      <c r="AJ92" s="128">
        <v>44562</v>
      </c>
      <c r="AK92" s="128" t="s">
        <v>373</v>
      </c>
      <c r="AL92" s="126" t="s">
        <v>307</v>
      </c>
      <c r="AM92" s="140"/>
    </row>
    <row r="93" spans="1:39" s="163" customFormat="1" ht="151.5" customHeight="1" x14ac:dyDescent="0.35">
      <c r="A93" s="393"/>
      <c r="B93" s="372"/>
      <c r="C93" s="375"/>
      <c r="D93" s="375"/>
      <c r="E93" s="346"/>
      <c r="F93" s="346"/>
      <c r="G93" s="346"/>
      <c r="H93" s="341"/>
      <c r="I93" s="346"/>
      <c r="J93" s="348"/>
      <c r="K93" s="351"/>
      <c r="L93" s="354"/>
      <c r="M93" s="356"/>
      <c r="N93" s="142"/>
      <c r="O93" s="351"/>
      <c r="P93" s="354"/>
      <c r="Q93" s="344"/>
      <c r="R93" s="130">
        <v>3</v>
      </c>
      <c r="S93" s="98"/>
      <c r="T93" s="131" t="str">
        <f t="shared" si="133"/>
        <v/>
      </c>
      <c r="U93" s="132"/>
      <c r="V93" s="132"/>
      <c r="W93" s="133"/>
      <c r="X93" s="132"/>
      <c r="Y93" s="132"/>
      <c r="Z93" s="132"/>
      <c r="AA93" s="134" t="str">
        <f>IFERROR(IF(T93="Probabilidad",(AA92-(+AA92*W93)),IF(T93="Impacto",L93,"")),"")</f>
        <v/>
      </c>
      <c r="AB93" s="135" t="str">
        <f t="shared" si="136"/>
        <v/>
      </c>
      <c r="AC93" s="136" t="str">
        <f t="shared" si="137"/>
        <v/>
      </c>
      <c r="AD93" s="135" t="str">
        <f t="shared" si="138"/>
        <v/>
      </c>
      <c r="AE93" s="136" t="str">
        <f t="shared" si="139"/>
        <v/>
      </c>
      <c r="AF93" s="137" t="str">
        <f t="shared" si="140"/>
        <v/>
      </c>
      <c r="AG93" s="138"/>
      <c r="AH93" s="119"/>
      <c r="AI93" s="127"/>
      <c r="AJ93" s="143"/>
      <c r="AK93" s="143"/>
      <c r="AL93" s="119"/>
      <c r="AM93" s="140"/>
    </row>
    <row r="94" spans="1:39" s="163" customFormat="1" ht="151.5" customHeight="1" x14ac:dyDescent="0.35">
      <c r="A94" s="431">
        <v>31</v>
      </c>
      <c r="B94" s="419" t="s">
        <v>309</v>
      </c>
      <c r="C94" s="417" t="s">
        <v>359</v>
      </c>
      <c r="D94" s="417" t="s">
        <v>402</v>
      </c>
      <c r="E94" s="406" t="s">
        <v>118</v>
      </c>
      <c r="F94" s="426" t="s">
        <v>588</v>
      </c>
      <c r="G94" s="426" t="s">
        <v>471</v>
      </c>
      <c r="H94" s="423" t="s">
        <v>589</v>
      </c>
      <c r="I94" s="406" t="s">
        <v>328</v>
      </c>
      <c r="J94" s="404">
        <v>12</v>
      </c>
      <c r="K94" s="409" t="str">
        <f>IF(J94&lt;=0,"",IF(J94&lt;=2,"Muy Baja",IF(J94&lt;=24,"Baja",IF(J94&lt;=500,"Media",IF(J94&lt;=5000,"Alta","Muy Alta")))))</f>
        <v>Baja</v>
      </c>
      <c r="L94" s="412">
        <f>IF(K94="","",IF(K94="Muy Baja",0.2,IF(K94="Baja",0.4,IF(K94="Media",0.6,IF(K94="Alta",0.8,IF(K94="Muy Alta",1,))))))</f>
        <v>0.4</v>
      </c>
      <c r="M94" s="415" t="s">
        <v>485</v>
      </c>
      <c r="N94" s="177" t="str">
        <f>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409" t="str">
        <f>IF(OR(N94='Tabla Impacto'!$C$11,N94='Tabla Impacto'!$D$11),"Leve",IF(OR(N94='Tabla Impacto'!$C$12,N94='Tabla Impacto'!$D$12),"Menor",IF(OR(N94='Tabla Impacto'!$C$13,N94='Tabla Impacto'!$D$13),"Moderado",IF(OR(N94='Tabla Impacto'!$C$14,N94='Tabla Impacto'!$D$14),"Mayor",IF(OR(N94='Tabla Impacto'!$C$15,N94='Tabla Impacto'!$D$15),"Catastrófico","")))))</f>
        <v>Moderado</v>
      </c>
      <c r="P94" s="412">
        <f>IF(O94="","",IF(O94="Leve",0.2,IF(O94="Menor",0.4,IF(O94="Moderado",0.6,IF(O94="Mayor",0.8,IF(O94="Catastrófico",1,))))))</f>
        <v>0.6</v>
      </c>
      <c r="Q94" s="428"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178">
        <v>1</v>
      </c>
      <c r="S94" s="174" t="s">
        <v>581</v>
      </c>
      <c r="T94" s="175" t="str">
        <f t="shared" si="25"/>
        <v>Probabilidad</v>
      </c>
      <c r="U94" s="179" t="s">
        <v>14</v>
      </c>
      <c r="V94" s="179" t="s">
        <v>9</v>
      </c>
      <c r="W94" s="180" t="str">
        <f t="shared" si="26"/>
        <v>40%</v>
      </c>
      <c r="X94" s="179" t="s">
        <v>19</v>
      </c>
      <c r="Y94" s="179" t="s">
        <v>22</v>
      </c>
      <c r="Z94" s="179" t="s">
        <v>110</v>
      </c>
      <c r="AA94" s="154">
        <f t="shared" si="27"/>
        <v>0.24</v>
      </c>
      <c r="AB94" s="168" t="str">
        <f t="shared" si="28"/>
        <v>Baja</v>
      </c>
      <c r="AC94" s="169">
        <f t="shared" si="29"/>
        <v>0.24</v>
      </c>
      <c r="AD94" s="168" t="str">
        <f t="shared" si="30"/>
        <v>Moderado</v>
      </c>
      <c r="AE94" s="169">
        <f t="shared" si="31"/>
        <v>0.6</v>
      </c>
      <c r="AF94" s="170" t="str">
        <f t="shared" si="32"/>
        <v>Moderado</v>
      </c>
      <c r="AG94" s="171" t="s">
        <v>122</v>
      </c>
      <c r="AH94" s="191" t="s">
        <v>583</v>
      </c>
      <c r="AI94" s="164" t="s">
        <v>582</v>
      </c>
      <c r="AJ94" s="165" t="s">
        <v>286</v>
      </c>
      <c r="AK94" s="165" t="s">
        <v>287</v>
      </c>
      <c r="AL94" s="174" t="s">
        <v>590</v>
      </c>
      <c r="AM94" s="164"/>
    </row>
    <row r="95" spans="1:39" s="163" customFormat="1" ht="151.5" customHeight="1" x14ac:dyDescent="0.35">
      <c r="A95" s="422"/>
      <c r="B95" s="420"/>
      <c r="C95" s="418"/>
      <c r="D95" s="418"/>
      <c r="E95" s="407"/>
      <c r="F95" s="433"/>
      <c r="G95" s="433"/>
      <c r="H95" s="424"/>
      <c r="I95" s="407"/>
      <c r="J95" s="405"/>
      <c r="K95" s="410"/>
      <c r="L95" s="413"/>
      <c r="M95" s="416"/>
      <c r="N95" s="184"/>
      <c r="O95" s="410"/>
      <c r="P95" s="413"/>
      <c r="Q95" s="429"/>
      <c r="R95" s="178">
        <v>2</v>
      </c>
      <c r="S95" s="174"/>
      <c r="T95" s="175"/>
      <c r="U95" s="179"/>
      <c r="V95" s="179"/>
      <c r="W95" s="180"/>
      <c r="X95" s="179"/>
      <c r="Y95" s="179"/>
      <c r="Z95" s="179"/>
      <c r="AA95" s="154"/>
      <c r="AB95" s="168"/>
      <c r="AC95" s="169"/>
      <c r="AD95" s="168"/>
      <c r="AE95" s="169"/>
      <c r="AF95" s="170"/>
      <c r="AG95" s="171"/>
      <c r="AH95" s="191"/>
      <c r="AI95" s="192"/>
      <c r="AJ95" s="165"/>
      <c r="AK95" s="165"/>
      <c r="AL95" s="174"/>
      <c r="AM95" s="164"/>
    </row>
    <row r="96" spans="1:39" s="163" customFormat="1" ht="151.5" customHeight="1" x14ac:dyDescent="0.35">
      <c r="A96" s="422"/>
      <c r="B96" s="420"/>
      <c r="C96" s="425"/>
      <c r="D96" s="425"/>
      <c r="E96" s="407"/>
      <c r="F96" s="407"/>
      <c r="G96" s="407"/>
      <c r="H96" s="424"/>
      <c r="I96" s="407"/>
      <c r="J96" s="405"/>
      <c r="K96" s="410"/>
      <c r="L96" s="413"/>
      <c r="M96" s="416"/>
      <c r="N96" s="184"/>
      <c r="O96" s="410"/>
      <c r="P96" s="413"/>
      <c r="Q96" s="429"/>
      <c r="R96" s="238">
        <v>3</v>
      </c>
      <c r="S96" s="174"/>
      <c r="T96" s="175"/>
      <c r="U96" s="179"/>
      <c r="V96" s="179"/>
      <c r="W96" s="180"/>
      <c r="X96" s="179"/>
      <c r="Y96" s="179"/>
      <c r="Z96" s="179"/>
      <c r="AA96" s="154"/>
      <c r="AB96" s="168"/>
      <c r="AC96" s="169"/>
      <c r="AD96" s="168"/>
      <c r="AE96" s="169"/>
      <c r="AF96" s="170"/>
      <c r="AG96" s="171"/>
      <c r="AH96" s="191"/>
      <c r="AI96" s="164"/>
      <c r="AJ96" s="165"/>
      <c r="AK96" s="165"/>
      <c r="AL96" s="174"/>
      <c r="AM96" s="164"/>
    </row>
    <row r="97" spans="1:39" s="163" customFormat="1" ht="151.5" customHeight="1" x14ac:dyDescent="0.35">
      <c r="A97" s="422">
        <v>32</v>
      </c>
      <c r="B97" s="444" t="s">
        <v>309</v>
      </c>
      <c r="C97" s="444" t="s">
        <v>353</v>
      </c>
      <c r="D97" s="444" t="s">
        <v>402</v>
      </c>
      <c r="E97" s="406" t="s">
        <v>118</v>
      </c>
      <c r="F97" s="406" t="s">
        <v>519</v>
      </c>
      <c r="G97" s="406" t="s">
        <v>520</v>
      </c>
      <c r="H97" s="423" t="s">
        <v>521</v>
      </c>
      <c r="I97" s="423" t="s">
        <v>328</v>
      </c>
      <c r="J97" s="447">
        <v>1096</v>
      </c>
      <c r="K97" s="409" t="str">
        <f>IF(J97&lt;=0,"",IF(J97&lt;=2,"Muy Baja",IF(J97&lt;=24,"Baja",IF(J97&lt;=500,"Media",IF(J97&lt;=5000,"Alta","Muy Alta")))))</f>
        <v>Alta</v>
      </c>
      <c r="L97" s="412">
        <f>IF(K97="","",IF(K97="Muy Baja",0.2,IF(K97="Baja",0.4,IF(K97="Media",0.6,IF(K97="Alta",0.8,IF(K97="Muy Alta",1,))))))</f>
        <v>0.8</v>
      </c>
      <c r="M97" s="434" t="s">
        <v>485</v>
      </c>
      <c r="N97" s="412" t="str">
        <f>IF(NOT(ISERROR(MATCH(M97,'[1]Tabla Impacto'!$B$221:$B$223,0))),'[1]Tabla Impacto'!$F$223&amp;"Por favor no seleccionar los criterios de impacto(Afectación Económica o presupuestal y Pérdida Reputacional)",M97)</f>
        <v xml:space="preserve"> El riesgo afecta la imagen de la entidad con algunos usuarios de relevancia frente al logro de los objetivos</v>
      </c>
      <c r="O97" s="409" t="str">
        <f>IF(OR(N97='[1]Tabla Impacto'!$C$11,N97='[1]Tabla Impacto'!$D$11),"Leve",IF(OR(N97='[1]Tabla Impacto'!$C$12,N97='[1]Tabla Impacto'!$D$12),"Menor",IF(OR(N97='[1]Tabla Impacto'!$C$13,N97='[1]Tabla Impacto'!$D$13),"Moderado",IF(OR(N97='[1]Tabla Impacto'!$C$14,N97='[1]Tabla Impacto'!$D$14),"Mayor",IF(OR(N97='[1]Tabla Impacto'!$C$15,N97='[1]Tabla Impacto'!$D$15),"Catastrófico","")))))</f>
        <v>Moderado</v>
      </c>
      <c r="P97" s="412">
        <f>IF(O97="","",IF(O97="Leve",0.2,IF(O97="Menor",0.4,IF(O97="Moderado",0.6,IF(O97="Mayor",0.8,IF(O97="Catastrófico",1,))))))</f>
        <v>0.6</v>
      </c>
      <c r="Q97" s="428"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173">
        <v>1</v>
      </c>
      <c r="S97" s="174" t="s">
        <v>584</v>
      </c>
      <c r="T97" s="222" t="str">
        <f t="shared" ref="T97" si="141">IF(OR(U97="Preventivo",U97="Detectivo"),"Probabilidad",IF(U97="Correctivo","Impacto",""))</f>
        <v>Probabilidad</v>
      </c>
      <c r="U97" s="223" t="s">
        <v>14</v>
      </c>
      <c r="V97" s="223" t="s">
        <v>9</v>
      </c>
      <c r="W97" s="224" t="str">
        <f t="shared" ref="W97" si="142">IF(AND(U97="Preventivo",V97="Automático"),"50%",IF(AND(U97="Preventivo",V97="Manual"),"40%",IF(AND(U97="Detectivo",V97="Automático"),"40%",IF(AND(U97="Detectivo",V97="Manual"),"30%",IF(AND(U97="Correctivo",V97="Automático"),"35%",IF(AND(U97="Correctivo",V97="Manual"),"25%",""))))))</f>
        <v>40%</v>
      </c>
      <c r="X97" s="223" t="s">
        <v>20</v>
      </c>
      <c r="Y97" s="223" t="s">
        <v>22</v>
      </c>
      <c r="Z97" s="223" t="s">
        <v>110</v>
      </c>
      <c r="AA97" s="225">
        <f t="shared" ref="AA97" si="143">IFERROR(IF(T97="Probabilidad",(L97-(+L97*W97)),IF(T97="Impacto",L97,"")),"")</f>
        <v>0.48</v>
      </c>
      <c r="AB97" s="226" t="str">
        <f t="shared" ref="AB97" si="144">IFERROR(IF(AA97="","",IF(AA97&lt;=0.2,"Muy Baja",IF(AA97&lt;=0.4,"Baja",IF(AA97&lt;=0.6,"Media",IF(AA97&lt;=0.8,"Alta","Muy Alta"))))),"")</f>
        <v>Media</v>
      </c>
      <c r="AC97" s="227">
        <f t="shared" ref="AC97" si="145">+AA97</f>
        <v>0.48</v>
      </c>
      <c r="AD97" s="226" t="str">
        <f t="shared" ref="AD97" si="146">IFERROR(IF(AE97="","",IF(AE97&lt;=0.2,"Leve",IF(AE97&lt;=0.4,"Menor",IF(AE97&lt;=0.6,"Moderado",IF(AE97&lt;=0.8,"Mayor","Catastrófico"))))),"")</f>
        <v>Moderado</v>
      </c>
      <c r="AE97" s="227">
        <f t="shared" ref="AE97" si="147">IFERROR(IF(T97="Impacto",(P97-(+P97*W97)),IF(T97="Probabilidad",P97,"")),"")</f>
        <v>0.6</v>
      </c>
      <c r="AF97" s="228" t="str">
        <f t="shared" ref="AF97" si="148">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Moderado</v>
      </c>
      <c r="AG97" s="229" t="s">
        <v>122</v>
      </c>
      <c r="AH97" s="172" t="s">
        <v>585</v>
      </c>
      <c r="AI97" s="164" t="s">
        <v>582</v>
      </c>
      <c r="AJ97" s="165" t="s">
        <v>286</v>
      </c>
      <c r="AK97" s="165" t="s">
        <v>287</v>
      </c>
      <c r="AL97" s="166" t="s">
        <v>472</v>
      </c>
      <c r="AM97" s="164"/>
    </row>
    <row r="98" spans="1:39" s="163" customFormat="1" ht="151.5" customHeight="1" x14ac:dyDescent="0.35">
      <c r="A98" s="422"/>
      <c r="B98" s="445"/>
      <c r="C98" s="445"/>
      <c r="D98" s="445"/>
      <c r="E98" s="407"/>
      <c r="F98" s="407"/>
      <c r="G98" s="407"/>
      <c r="H98" s="424"/>
      <c r="I98" s="424"/>
      <c r="J98" s="448"/>
      <c r="K98" s="410"/>
      <c r="L98" s="413"/>
      <c r="M98" s="435"/>
      <c r="N98" s="413"/>
      <c r="O98" s="410"/>
      <c r="P98" s="413"/>
      <c r="Q98" s="429"/>
      <c r="R98" s="173">
        <v>2</v>
      </c>
      <c r="S98" s="174"/>
      <c r="T98" s="175"/>
      <c r="U98" s="167"/>
      <c r="V98" s="167"/>
      <c r="W98" s="176"/>
      <c r="X98" s="167"/>
      <c r="Y98" s="167"/>
      <c r="Z98" s="167"/>
      <c r="AA98" s="154"/>
      <c r="AB98" s="168"/>
      <c r="AC98" s="169"/>
      <c r="AD98" s="168"/>
      <c r="AE98" s="169"/>
      <c r="AF98" s="170"/>
      <c r="AG98" s="171"/>
      <c r="AH98" s="172"/>
      <c r="AI98" s="164"/>
      <c r="AJ98" s="165"/>
      <c r="AK98" s="165"/>
      <c r="AL98" s="166"/>
      <c r="AM98" s="164"/>
    </row>
    <row r="99" spans="1:39" s="163" customFormat="1" ht="151.5" customHeight="1" x14ac:dyDescent="0.35">
      <c r="A99" s="422"/>
      <c r="B99" s="446"/>
      <c r="C99" s="446"/>
      <c r="D99" s="446"/>
      <c r="E99" s="440"/>
      <c r="F99" s="440"/>
      <c r="G99" s="440"/>
      <c r="H99" s="441"/>
      <c r="I99" s="441"/>
      <c r="J99" s="449"/>
      <c r="K99" s="411"/>
      <c r="L99" s="414"/>
      <c r="M99" s="436"/>
      <c r="N99" s="414"/>
      <c r="O99" s="411"/>
      <c r="P99" s="414"/>
      <c r="Q99" s="430"/>
      <c r="R99" s="173">
        <v>3</v>
      </c>
      <c r="S99" s="174"/>
      <c r="T99" s="175"/>
      <c r="U99" s="167"/>
      <c r="V99" s="167"/>
      <c r="W99" s="176"/>
      <c r="X99" s="167"/>
      <c r="Y99" s="167"/>
      <c r="Z99" s="167"/>
      <c r="AA99" s="154"/>
      <c r="AB99" s="168"/>
      <c r="AC99" s="169"/>
      <c r="AD99" s="168"/>
      <c r="AE99" s="169"/>
      <c r="AF99" s="170"/>
      <c r="AG99" s="171"/>
      <c r="AH99" s="172"/>
      <c r="AI99" s="164"/>
      <c r="AJ99" s="165"/>
      <c r="AK99" s="165"/>
      <c r="AL99" s="166"/>
      <c r="AM99" s="164"/>
    </row>
    <row r="100" spans="1:39" s="163" customFormat="1" ht="151.5" customHeight="1" x14ac:dyDescent="0.35">
      <c r="A100" s="422">
        <v>33</v>
      </c>
      <c r="B100" s="419" t="s">
        <v>310</v>
      </c>
      <c r="C100" s="417" t="s">
        <v>360</v>
      </c>
      <c r="D100" s="417" t="s">
        <v>403</v>
      </c>
      <c r="E100" s="406" t="s">
        <v>118</v>
      </c>
      <c r="F100" s="406" t="s">
        <v>311</v>
      </c>
      <c r="G100" s="406" t="s">
        <v>465</v>
      </c>
      <c r="H100" s="423" t="s">
        <v>464</v>
      </c>
      <c r="I100" s="406" t="s">
        <v>117</v>
      </c>
      <c r="J100" s="404">
        <v>365</v>
      </c>
      <c r="K100" s="409" t="str">
        <f>IF(J100&lt;=0,"",IF(J100&lt;=2,"Muy Baja",IF(J100&lt;=24,"Baja",IF(J100&lt;=500,"Media",IF(J100&lt;=5000,"Alta","Muy Alta")))))</f>
        <v>Media</v>
      </c>
      <c r="L100" s="412">
        <f>IF(K100="","",IF(K100="Muy Baja",0.2,IF(K100="Baja",0.4,IF(K100="Media",0.6,IF(K100="Alta",0.8,IF(K100="Muy Alta",1,))))))</f>
        <v>0.6</v>
      </c>
      <c r="M100" s="415" t="s">
        <v>485</v>
      </c>
      <c r="N100" s="177"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409"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412">
        <f>IF(O100="","",IF(O100="Leve",0.2,IF(O100="Menor",0.4,IF(O100="Moderado",0.6,IF(O100="Mayor",0.8,IF(O100="Catastrófico",1,))))))</f>
        <v>0.6</v>
      </c>
      <c r="Q100" s="428"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78">
        <v>1</v>
      </c>
      <c r="S100" s="174" t="s">
        <v>344</v>
      </c>
      <c r="T100" s="175" t="str">
        <f t="shared" ref="T100:T102" si="149">IF(OR(U100="Preventivo",U100="Detectivo"),"Probabilidad",IF(U100="Correctivo","Impacto",""))</f>
        <v>Probabilidad</v>
      </c>
      <c r="U100" s="179" t="s">
        <v>15</v>
      </c>
      <c r="V100" s="179" t="s">
        <v>9</v>
      </c>
      <c r="W100" s="180" t="str">
        <f t="shared" ref="W100:W101" si="150">IF(AND(U100="Preventivo",V100="Automático"),"50%",IF(AND(U100="Preventivo",V100="Manual"),"40%",IF(AND(U100="Detectivo",V100="Automático"),"40%",IF(AND(U100="Detectivo",V100="Manual"),"30%",IF(AND(U100="Correctivo",V100="Automático"),"35%",IF(AND(U100="Correctivo",V100="Manual"),"25%",""))))))</f>
        <v>30%</v>
      </c>
      <c r="X100" s="179" t="s">
        <v>19</v>
      </c>
      <c r="Y100" s="179" t="s">
        <v>22</v>
      </c>
      <c r="Z100" s="179" t="s">
        <v>110</v>
      </c>
      <c r="AA100" s="154">
        <f t="shared" ref="AA100" si="151">IFERROR(IF(T100="Probabilidad",(L100-(+L100*W100)),IF(T100="Impacto",L100,"")),"")</f>
        <v>0.42</v>
      </c>
      <c r="AB100" s="168" t="str">
        <f t="shared" ref="AB100:AB102" si="152">IFERROR(IF(AA100="","",IF(AA100&lt;=0.2,"Muy Baja",IF(AA100&lt;=0.4,"Baja",IF(AA100&lt;=0.6,"Media",IF(AA100&lt;=0.8,"Alta","Muy Alta"))))),"")</f>
        <v>Media</v>
      </c>
      <c r="AC100" s="169">
        <f t="shared" ref="AC100:AC102" si="153">+AA100</f>
        <v>0.42</v>
      </c>
      <c r="AD100" s="168" t="str">
        <f t="shared" ref="AD100:AD102" si="154">IFERROR(IF(AE100="","",IF(AE100&lt;=0.2,"Leve",IF(AE100&lt;=0.4,"Menor",IF(AE100&lt;=0.6,"Moderado",IF(AE100&lt;=0.8,"Mayor","Catastrófico"))))),"")</f>
        <v>Moderado</v>
      </c>
      <c r="AE100" s="169">
        <f t="shared" ref="AE100:AE102" si="155">IFERROR(IF(T100="Impacto",(P100-(+P100*W100)),IF(T100="Probabilidad",P100,"")),"")</f>
        <v>0.6</v>
      </c>
      <c r="AF100" s="170" t="str">
        <f t="shared" ref="AF100:AF102" si="156">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71" t="s">
        <v>122</v>
      </c>
      <c r="AH100" s="172" t="s">
        <v>404</v>
      </c>
      <c r="AI100" s="164" t="s">
        <v>203</v>
      </c>
      <c r="AJ100" s="165" t="s">
        <v>199</v>
      </c>
      <c r="AK100" s="165" t="s">
        <v>199</v>
      </c>
      <c r="AL100" s="166" t="s">
        <v>406</v>
      </c>
      <c r="AM100" s="164"/>
    </row>
    <row r="101" spans="1:39" s="163" customFormat="1" ht="151.5" customHeight="1" x14ac:dyDescent="0.35">
      <c r="A101" s="422"/>
      <c r="B101" s="420"/>
      <c r="C101" s="425"/>
      <c r="D101" s="425"/>
      <c r="E101" s="407"/>
      <c r="F101" s="407"/>
      <c r="G101" s="407"/>
      <c r="H101" s="424"/>
      <c r="I101" s="407"/>
      <c r="J101" s="405"/>
      <c r="K101" s="410"/>
      <c r="L101" s="413"/>
      <c r="M101" s="416"/>
      <c r="N101" s="184"/>
      <c r="O101" s="410"/>
      <c r="P101" s="413"/>
      <c r="Q101" s="429"/>
      <c r="R101" s="178">
        <v>2</v>
      </c>
      <c r="S101" s="174" t="s">
        <v>350</v>
      </c>
      <c r="T101" s="175" t="str">
        <f t="shared" si="149"/>
        <v>Probabilidad</v>
      </c>
      <c r="U101" s="179" t="s">
        <v>14</v>
      </c>
      <c r="V101" s="179" t="s">
        <v>9</v>
      </c>
      <c r="W101" s="180" t="str">
        <f t="shared" si="150"/>
        <v>40%</v>
      </c>
      <c r="X101" s="179" t="s">
        <v>19</v>
      </c>
      <c r="Y101" s="179" t="s">
        <v>23</v>
      </c>
      <c r="Z101" s="179" t="s">
        <v>110</v>
      </c>
      <c r="AA101" s="154">
        <f>IFERROR(IF(T101="Probabilidad",(AA100-(+AA100*W101)),IF(T101="Impacto",L101,"")),"")</f>
        <v>0.252</v>
      </c>
      <c r="AB101" s="168" t="str">
        <f t="shared" si="152"/>
        <v>Baja</v>
      </c>
      <c r="AC101" s="169">
        <f t="shared" si="153"/>
        <v>0.252</v>
      </c>
      <c r="AD101" s="168" t="str">
        <f t="shared" si="154"/>
        <v>Moderado</v>
      </c>
      <c r="AE101" s="169">
        <v>0.6</v>
      </c>
      <c r="AF101" s="170" t="str">
        <f t="shared" si="156"/>
        <v>Moderado</v>
      </c>
      <c r="AG101" s="171" t="s">
        <v>122</v>
      </c>
      <c r="AH101" s="181" t="s">
        <v>312</v>
      </c>
      <c r="AI101" s="182" t="s">
        <v>212</v>
      </c>
      <c r="AJ101" s="183" t="s">
        <v>199</v>
      </c>
      <c r="AK101" s="183" t="s">
        <v>199</v>
      </c>
      <c r="AL101" s="181" t="s">
        <v>405</v>
      </c>
      <c r="AM101" s="164"/>
    </row>
    <row r="102" spans="1:39" s="163" customFormat="1" ht="99.75" customHeight="1" x14ac:dyDescent="0.35">
      <c r="A102" s="422"/>
      <c r="B102" s="421"/>
      <c r="C102" s="425"/>
      <c r="D102" s="425"/>
      <c r="E102" s="407"/>
      <c r="F102" s="407"/>
      <c r="G102" s="407"/>
      <c r="H102" s="424"/>
      <c r="I102" s="407"/>
      <c r="J102" s="405"/>
      <c r="K102" s="411"/>
      <c r="L102" s="414"/>
      <c r="M102" s="416"/>
      <c r="N102" s="184"/>
      <c r="O102" s="411"/>
      <c r="P102" s="414"/>
      <c r="Q102" s="430"/>
      <c r="R102" s="178">
        <v>3</v>
      </c>
      <c r="S102" s="174"/>
      <c r="T102" s="175" t="str">
        <f t="shared" si="149"/>
        <v/>
      </c>
      <c r="U102" s="179"/>
      <c r="V102" s="179"/>
      <c r="W102" s="180"/>
      <c r="X102" s="179"/>
      <c r="Y102" s="179"/>
      <c r="Z102" s="179"/>
      <c r="AA102" s="154" t="str">
        <f>IFERROR(IF(T102="Probabilidad",(AA101-(+AA101*W102)),IF(T102="Impacto",L102,"")),"")</f>
        <v/>
      </c>
      <c r="AB102" s="168" t="str">
        <f t="shared" si="152"/>
        <v/>
      </c>
      <c r="AC102" s="169" t="str">
        <f t="shared" si="153"/>
        <v/>
      </c>
      <c r="AD102" s="168" t="str">
        <f t="shared" si="154"/>
        <v/>
      </c>
      <c r="AE102" s="169" t="str">
        <f t="shared" si="155"/>
        <v/>
      </c>
      <c r="AF102" s="170" t="str">
        <f t="shared" si="156"/>
        <v/>
      </c>
      <c r="AG102" s="171"/>
      <c r="AH102" s="174"/>
      <c r="AI102" s="164"/>
      <c r="AJ102" s="165"/>
      <c r="AK102" s="165"/>
      <c r="AL102" s="174"/>
      <c r="AM102" s="164"/>
    </row>
    <row r="103" spans="1:39" s="163" customFormat="1" ht="151.5" customHeight="1" x14ac:dyDescent="0.35">
      <c r="A103" s="422">
        <v>34</v>
      </c>
      <c r="B103" s="419" t="s">
        <v>310</v>
      </c>
      <c r="C103" s="417" t="s">
        <v>360</v>
      </c>
      <c r="D103" s="417" t="s">
        <v>403</v>
      </c>
      <c r="E103" s="406" t="s">
        <v>118</v>
      </c>
      <c r="F103" s="406" t="s">
        <v>313</v>
      </c>
      <c r="G103" s="406" t="s">
        <v>333</v>
      </c>
      <c r="H103" s="423" t="s">
        <v>407</v>
      </c>
      <c r="I103" s="406" t="s">
        <v>328</v>
      </c>
      <c r="J103" s="404">
        <v>365</v>
      </c>
      <c r="K103" s="409" t="str">
        <f>IF(J103&lt;=0,"",IF(J103&lt;=2,"Muy Baja",IF(J103&lt;=24,"Baja",IF(J103&lt;=500,"Media",IF(J103&lt;=5000,"Alta","Muy Alta")))))</f>
        <v>Media</v>
      </c>
      <c r="L103" s="412">
        <f>IF(K103="","",IF(K103="Muy Baja",0.2,IF(K103="Baja",0.4,IF(K103="Media",0.6,IF(K103="Alta",0.8,IF(K103="Muy Alta",1,))))))</f>
        <v>0.6</v>
      </c>
      <c r="M103" s="415" t="s">
        <v>485</v>
      </c>
      <c r="N103" s="177"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409"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412">
        <f>IF(O103="","",IF(O103="Leve",0.2,IF(O103="Menor",0.4,IF(O103="Moderado",0.6,IF(O103="Mayor",0.8,IF(O103="Catastrófico",1,))))))</f>
        <v>0.6</v>
      </c>
      <c r="Q103" s="428"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78">
        <v>1</v>
      </c>
      <c r="S103" s="174" t="s">
        <v>334</v>
      </c>
      <c r="T103" s="175" t="str">
        <f t="shared" si="25"/>
        <v>Probabilidad</v>
      </c>
      <c r="U103" s="179" t="s">
        <v>14</v>
      </c>
      <c r="V103" s="179" t="s">
        <v>9</v>
      </c>
      <c r="W103" s="180" t="str">
        <f t="shared" si="26"/>
        <v>40%</v>
      </c>
      <c r="X103" s="179" t="s">
        <v>19</v>
      </c>
      <c r="Y103" s="179" t="s">
        <v>23</v>
      </c>
      <c r="Z103" s="179" t="s">
        <v>110</v>
      </c>
      <c r="AA103" s="154">
        <f t="shared" si="27"/>
        <v>0.36</v>
      </c>
      <c r="AB103" s="168" t="str">
        <f t="shared" si="28"/>
        <v>Baja</v>
      </c>
      <c r="AC103" s="169">
        <f t="shared" si="29"/>
        <v>0.36</v>
      </c>
      <c r="AD103" s="168" t="str">
        <f t="shared" si="30"/>
        <v>Moderado</v>
      </c>
      <c r="AE103" s="169">
        <f t="shared" si="31"/>
        <v>0.6</v>
      </c>
      <c r="AF103" s="170" t="str">
        <f t="shared" si="32"/>
        <v>Moderado</v>
      </c>
      <c r="AG103" s="171" t="s">
        <v>122</v>
      </c>
      <c r="AH103" s="181" t="s">
        <v>335</v>
      </c>
      <c r="AI103" s="182" t="s">
        <v>282</v>
      </c>
      <c r="AJ103" s="183" t="s">
        <v>199</v>
      </c>
      <c r="AK103" s="183" t="s">
        <v>199</v>
      </c>
      <c r="AL103" s="181" t="s">
        <v>408</v>
      </c>
      <c r="AM103" s="164"/>
    </row>
    <row r="104" spans="1:39" s="163" customFormat="1" ht="151.5" customHeight="1" x14ac:dyDescent="0.35">
      <c r="A104" s="422"/>
      <c r="B104" s="420"/>
      <c r="C104" s="425"/>
      <c r="D104" s="425"/>
      <c r="E104" s="407"/>
      <c r="F104" s="407"/>
      <c r="G104" s="407"/>
      <c r="H104" s="424"/>
      <c r="I104" s="407"/>
      <c r="J104" s="405"/>
      <c r="K104" s="410"/>
      <c r="L104" s="413"/>
      <c r="M104" s="416"/>
      <c r="N104" s="184"/>
      <c r="O104" s="410"/>
      <c r="P104" s="413"/>
      <c r="Q104" s="429"/>
      <c r="R104" s="178">
        <v>2</v>
      </c>
      <c r="S104" s="174" t="s">
        <v>345</v>
      </c>
      <c r="T104" s="175" t="str">
        <f t="shared" ref="T104:T105" si="157">IF(OR(U104="Preventivo",U104="Detectivo"),"Probabilidad",IF(U104="Correctivo","Impacto",""))</f>
        <v>Probabilidad</v>
      </c>
      <c r="U104" s="179" t="s">
        <v>14</v>
      </c>
      <c r="V104" s="179" t="s">
        <v>9</v>
      </c>
      <c r="W104" s="180" t="str">
        <f t="shared" ref="W104" si="158">IF(AND(U104="Preventivo",V104="Automático"),"50%",IF(AND(U104="Preventivo",V104="Manual"),"40%",IF(AND(U104="Detectivo",V104="Automático"),"40%",IF(AND(U104="Detectivo",V104="Manual"),"30%",IF(AND(U104="Correctivo",V104="Automático"),"35%",IF(AND(U104="Correctivo",V104="Manual"),"25%",""))))))</f>
        <v>40%</v>
      </c>
      <c r="X104" s="179" t="s">
        <v>20</v>
      </c>
      <c r="Y104" s="179" t="s">
        <v>22</v>
      </c>
      <c r="Z104" s="179" t="s">
        <v>110</v>
      </c>
      <c r="AA104" s="154">
        <f>IFERROR(IF(T104="Probabilidad",(AA103-(+AA103*W104)),IF(T104="Impacto",L104,"")),"")</f>
        <v>0.216</v>
      </c>
      <c r="AB104" s="168" t="str">
        <f t="shared" ref="AB104:AB105" si="159">IFERROR(IF(AA104="","",IF(AA104&lt;=0.2,"Muy Baja",IF(AA104&lt;=0.4,"Baja",IF(AA104&lt;=0.6,"Media",IF(AA104&lt;=0.8,"Alta","Muy Alta"))))),"")</f>
        <v>Baja</v>
      </c>
      <c r="AC104" s="169">
        <f t="shared" ref="AC104:AC105" si="160">+AA104</f>
        <v>0.216</v>
      </c>
      <c r="AD104" s="168" t="str">
        <f t="shared" ref="AD104:AD105" si="161">IFERROR(IF(AE104="","",IF(AE104&lt;=0.2,"Leve",IF(AE104&lt;=0.4,"Menor",IF(AE104&lt;=0.6,"Moderado",IF(AE104&lt;=0.8,"Mayor","Catastrófico"))))),"")</f>
        <v>Moderado</v>
      </c>
      <c r="AE104" s="169">
        <v>0.6</v>
      </c>
      <c r="AF104" s="170" t="str">
        <f t="shared" ref="AF104:AF105" si="162">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71" t="s">
        <v>122</v>
      </c>
      <c r="AH104" s="181" t="s">
        <v>404</v>
      </c>
      <c r="AI104" s="182" t="s">
        <v>203</v>
      </c>
      <c r="AJ104" s="183" t="s">
        <v>199</v>
      </c>
      <c r="AK104" s="183" t="s">
        <v>199</v>
      </c>
      <c r="AL104" s="181" t="s">
        <v>406</v>
      </c>
      <c r="AM104" s="164"/>
    </row>
    <row r="105" spans="1:39" s="163" customFormat="1" ht="151.5" customHeight="1" x14ac:dyDescent="0.35">
      <c r="A105" s="422"/>
      <c r="B105" s="421"/>
      <c r="C105" s="425"/>
      <c r="D105" s="425"/>
      <c r="E105" s="407"/>
      <c r="F105" s="407"/>
      <c r="G105" s="407"/>
      <c r="H105" s="424"/>
      <c r="I105" s="407"/>
      <c r="J105" s="405"/>
      <c r="K105" s="411"/>
      <c r="L105" s="414"/>
      <c r="M105" s="416"/>
      <c r="N105" s="184"/>
      <c r="O105" s="411"/>
      <c r="P105" s="414"/>
      <c r="Q105" s="430"/>
      <c r="R105" s="178">
        <v>3</v>
      </c>
      <c r="S105" s="174"/>
      <c r="T105" s="175" t="str">
        <f t="shared" si="157"/>
        <v/>
      </c>
      <c r="U105" s="179"/>
      <c r="V105" s="179"/>
      <c r="W105" s="180"/>
      <c r="X105" s="179"/>
      <c r="Y105" s="179"/>
      <c r="Z105" s="179"/>
      <c r="AA105" s="154" t="str">
        <f>IFERROR(IF(T105="Probabilidad",(AA104-(+AA104*W105)),IF(T105="Impacto",L105,"")),"")</f>
        <v/>
      </c>
      <c r="AB105" s="168" t="str">
        <f t="shared" si="159"/>
        <v/>
      </c>
      <c r="AC105" s="169" t="str">
        <f t="shared" si="160"/>
        <v/>
      </c>
      <c r="AD105" s="168" t="str">
        <f t="shared" si="161"/>
        <v/>
      </c>
      <c r="AE105" s="169" t="str">
        <f t="shared" ref="AE105" si="163">IFERROR(IF(T105="Impacto",(P105-(+P105*W105)),IF(T105="Probabilidad",P105,"")),"")</f>
        <v/>
      </c>
      <c r="AF105" s="170" t="str">
        <f t="shared" si="162"/>
        <v/>
      </c>
      <c r="AG105" s="171"/>
      <c r="AH105" s="174"/>
      <c r="AI105" s="164"/>
      <c r="AJ105" s="165"/>
      <c r="AK105" s="165"/>
      <c r="AL105" s="174"/>
      <c r="AM105" s="164"/>
    </row>
    <row r="106" spans="1:39" s="163" customFormat="1" ht="151.5" customHeight="1" x14ac:dyDescent="0.35">
      <c r="A106" s="422">
        <v>35</v>
      </c>
      <c r="B106" s="419" t="s">
        <v>310</v>
      </c>
      <c r="C106" s="417" t="s">
        <v>360</v>
      </c>
      <c r="D106" s="417" t="s">
        <v>403</v>
      </c>
      <c r="E106" s="406" t="s">
        <v>120</v>
      </c>
      <c r="F106" s="406" t="s">
        <v>315</v>
      </c>
      <c r="G106" s="406" t="s">
        <v>316</v>
      </c>
      <c r="H106" s="423" t="s">
        <v>314</v>
      </c>
      <c r="I106" s="406" t="s">
        <v>336</v>
      </c>
      <c r="J106" s="404">
        <v>365</v>
      </c>
      <c r="K106" s="409" t="str">
        <f>IF(J106&lt;=0,"",IF(J106&lt;=2,"Muy Baja",IF(J106&lt;=24,"Baja",IF(J106&lt;=500,"Media",IF(J106&lt;=5000,"Alta","Muy Alta")))))</f>
        <v>Media</v>
      </c>
      <c r="L106" s="412">
        <f>IF(K106="","",IF(K106="Muy Baja",0.2,IF(K106="Baja",0.4,IF(K106="Media",0.6,IF(K106="Alta",0.8,IF(K106="Muy Alta",1,))))))</f>
        <v>0.6</v>
      </c>
      <c r="M106" s="415" t="s">
        <v>492</v>
      </c>
      <c r="N106" s="177" t="str">
        <f>IF(NOT(ISERROR(MATCH(M106,'Tabla Impacto'!$B$221:$B$223,0))),'Tabla Impacto'!$F$223&amp;"Por favor no seleccionar los criterios de impacto(Afectación Económica o presupuestal y Pérdida Reputacional)",M106)</f>
        <v xml:space="preserve"> El riesgo afecta la imagen de la entidad con efecto publicitario sostenido a nivel de sector administrativo, nivel departamental o municipal</v>
      </c>
      <c r="O106" s="409" t="str">
        <f>IF(OR(N106='Tabla Impacto'!$C$11,N106='Tabla Impacto'!$D$11),"Leve",IF(OR(N106='Tabla Impacto'!$C$12,N106='Tabla Impacto'!$D$12),"Menor",IF(OR(N106='Tabla Impacto'!$C$13,N106='Tabla Impacto'!$D$13),"Moderado",IF(OR(N106='Tabla Impacto'!$C$14,N106='Tabla Impacto'!$D$14),"Mayor",IF(OR(N106='Tabla Impacto'!$C$15,N106='Tabla Impacto'!$D$15),"Catastrófico","")))))</f>
        <v>Mayor</v>
      </c>
      <c r="P106" s="412">
        <f>IF(O106="","",IF(O106="Leve",0.2,IF(O106="Menor",0.4,IF(O106="Moderado",0.6,IF(O106="Mayor",0.8,IF(O106="Catastrófico",1,))))))</f>
        <v>0.8</v>
      </c>
      <c r="Q106" s="428"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Alto</v>
      </c>
      <c r="R106" s="178">
        <v>1</v>
      </c>
      <c r="S106" s="174" t="s">
        <v>351</v>
      </c>
      <c r="T106" s="175" t="str">
        <f t="shared" ref="T106:T108" si="164">IF(OR(U106="Preventivo",U106="Detectivo"),"Probabilidad",IF(U106="Correctivo","Impacto",""))</f>
        <v>Probabilidad</v>
      </c>
      <c r="U106" s="179" t="s">
        <v>14</v>
      </c>
      <c r="V106" s="179" t="s">
        <v>9</v>
      </c>
      <c r="W106" s="180" t="str">
        <f t="shared" ref="W106:W107" si="165">IF(AND(U106="Preventivo",V106="Automático"),"50%",IF(AND(U106="Preventivo",V106="Manual"),"40%",IF(AND(U106="Detectivo",V106="Automático"),"40%",IF(AND(U106="Detectivo",V106="Manual"),"30%",IF(AND(U106="Correctivo",V106="Automático"),"35%",IF(AND(U106="Correctivo",V106="Manual"),"25%",""))))))</f>
        <v>40%</v>
      </c>
      <c r="X106" s="179" t="s">
        <v>19</v>
      </c>
      <c r="Y106" s="179" t="s">
        <v>22</v>
      </c>
      <c r="Z106" s="179" t="s">
        <v>110</v>
      </c>
      <c r="AA106" s="154">
        <f t="shared" ref="AA106" si="166">IFERROR(IF(T106="Probabilidad",(L106-(+L106*W106)),IF(T106="Impacto",L106,"")),"")</f>
        <v>0.36</v>
      </c>
      <c r="AB106" s="168" t="str">
        <f t="shared" ref="AB106:AB108" si="167">IFERROR(IF(AA106="","",IF(AA106&lt;=0.2,"Muy Baja",IF(AA106&lt;=0.4,"Baja",IF(AA106&lt;=0.6,"Media",IF(AA106&lt;=0.8,"Alta","Muy Alta"))))),"")</f>
        <v>Baja</v>
      </c>
      <c r="AC106" s="169">
        <f t="shared" ref="AC106:AC108" si="168">+AA106</f>
        <v>0.36</v>
      </c>
      <c r="AD106" s="168" t="str">
        <f t="shared" ref="AD106:AD108" si="169">IFERROR(IF(AE106="","",IF(AE106&lt;=0.2,"Leve",IF(AE106&lt;=0.4,"Menor",IF(AE106&lt;=0.6,"Moderado",IF(AE106&lt;=0.8,"Mayor","Catastrófico"))))),"")</f>
        <v>Mayor</v>
      </c>
      <c r="AE106" s="169">
        <f t="shared" ref="AE106:AE108" si="170">IFERROR(IF(T106="Impacto",(P106-(+P106*W106)),IF(T106="Probabilidad",P106,"")),"")</f>
        <v>0.8</v>
      </c>
      <c r="AF106" s="170" t="str">
        <f t="shared" ref="AF106:AF108" si="171">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Alto</v>
      </c>
      <c r="AG106" s="171" t="s">
        <v>122</v>
      </c>
      <c r="AH106" s="181" t="s">
        <v>312</v>
      </c>
      <c r="AI106" s="182" t="s">
        <v>212</v>
      </c>
      <c r="AJ106" s="183" t="s">
        <v>199</v>
      </c>
      <c r="AK106" s="183" t="s">
        <v>199</v>
      </c>
      <c r="AL106" s="181" t="s">
        <v>405</v>
      </c>
      <c r="AM106" s="164"/>
    </row>
    <row r="107" spans="1:39" s="163" customFormat="1" ht="151.5" customHeight="1" x14ac:dyDescent="0.35">
      <c r="A107" s="422"/>
      <c r="B107" s="420"/>
      <c r="C107" s="425"/>
      <c r="D107" s="425"/>
      <c r="E107" s="407"/>
      <c r="F107" s="407"/>
      <c r="G107" s="407"/>
      <c r="H107" s="424"/>
      <c r="I107" s="407"/>
      <c r="J107" s="405"/>
      <c r="K107" s="410"/>
      <c r="L107" s="413"/>
      <c r="M107" s="416"/>
      <c r="N107" s="184"/>
      <c r="O107" s="410"/>
      <c r="P107" s="413"/>
      <c r="Q107" s="429"/>
      <c r="R107" s="178">
        <v>2</v>
      </c>
      <c r="S107" s="174" t="s">
        <v>346</v>
      </c>
      <c r="T107" s="175" t="str">
        <f t="shared" si="164"/>
        <v>Probabilidad</v>
      </c>
      <c r="U107" s="179" t="s">
        <v>15</v>
      </c>
      <c r="V107" s="179" t="s">
        <v>10</v>
      </c>
      <c r="W107" s="180" t="str">
        <f t="shared" si="165"/>
        <v>40%</v>
      </c>
      <c r="X107" s="179" t="s">
        <v>19</v>
      </c>
      <c r="Y107" s="179" t="s">
        <v>22</v>
      </c>
      <c r="Z107" s="179" t="s">
        <v>110</v>
      </c>
      <c r="AA107" s="154">
        <f>IFERROR(IF(T107="Probabilidad",(AA106-(+AA106*W107)),IF(T107="Impacto",L107,"")),"")</f>
        <v>0.216</v>
      </c>
      <c r="AB107" s="168" t="str">
        <f t="shared" si="167"/>
        <v>Baja</v>
      </c>
      <c r="AC107" s="169">
        <f t="shared" si="168"/>
        <v>0.216</v>
      </c>
      <c r="AD107" s="168" t="str">
        <f t="shared" si="169"/>
        <v>Mayor</v>
      </c>
      <c r="AE107" s="169">
        <v>0.8</v>
      </c>
      <c r="AF107" s="170" t="str">
        <f t="shared" si="171"/>
        <v>Alto</v>
      </c>
      <c r="AG107" s="171" t="s">
        <v>122</v>
      </c>
      <c r="AH107" s="185" t="s">
        <v>409</v>
      </c>
      <c r="AI107" s="182" t="s">
        <v>203</v>
      </c>
      <c r="AJ107" s="183" t="s">
        <v>199</v>
      </c>
      <c r="AK107" s="183" t="s">
        <v>199</v>
      </c>
      <c r="AL107" s="181" t="s">
        <v>410</v>
      </c>
      <c r="AM107" s="164"/>
    </row>
    <row r="108" spans="1:39" s="163" customFormat="1" ht="151.5" customHeight="1" x14ac:dyDescent="0.35">
      <c r="A108" s="422"/>
      <c r="B108" s="421"/>
      <c r="C108" s="425"/>
      <c r="D108" s="425"/>
      <c r="E108" s="407"/>
      <c r="F108" s="407"/>
      <c r="G108" s="407"/>
      <c r="H108" s="424"/>
      <c r="I108" s="407"/>
      <c r="J108" s="405"/>
      <c r="K108" s="411"/>
      <c r="L108" s="414"/>
      <c r="M108" s="416"/>
      <c r="N108" s="184"/>
      <c r="O108" s="411"/>
      <c r="P108" s="414"/>
      <c r="Q108" s="430"/>
      <c r="R108" s="178">
        <v>3</v>
      </c>
      <c r="S108" s="174"/>
      <c r="T108" s="175" t="str">
        <f t="shared" si="164"/>
        <v/>
      </c>
      <c r="U108" s="179"/>
      <c r="V108" s="179"/>
      <c r="W108" s="180"/>
      <c r="X108" s="179"/>
      <c r="Y108" s="179"/>
      <c r="Z108" s="179"/>
      <c r="AA108" s="154" t="str">
        <f>IFERROR(IF(T108="Probabilidad",(AA107-(+AA107*W108)),IF(T108="Impacto",L108,"")),"")</f>
        <v/>
      </c>
      <c r="AB108" s="168" t="str">
        <f t="shared" si="167"/>
        <v/>
      </c>
      <c r="AC108" s="169" t="str">
        <f t="shared" si="168"/>
        <v/>
      </c>
      <c r="AD108" s="168" t="str">
        <f t="shared" si="169"/>
        <v/>
      </c>
      <c r="AE108" s="169" t="str">
        <f t="shared" si="170"/>
        <v/>
      </c>
      <c r="AF108" s="170" t="str">
        <f t="shared" si="171"/>
        <v/>
      </c>
      <c r="AG108" s="171"/>
      <c r="AH108" s="174"/>
      <c r="AI108" s="164"/>
      <c r="AJ108" s="165"/>
      <c r="AK108" s="165"/>
      <c r="AL108" s="174"/>
      <c r="AM108" s="164"/>
    </row>
    <row r="109" spans="1:39" s="163" customFormat="1" ht="151.5" customHeight="1" x14ac:dyDescent="0.35">
      <c r="A109" s="422">
        <v>36</v>
      </c>
      <c r="B109" s="419" t="s">
        <v>317</v>
      </c>
      <c r="C109" s="417" t="s">
        <v>352</v>
      </c>
      <c r="D109" s="417" t="s">
        <v>411</v>
      </c>
      <c r="E109" s="406" t="s">
        <v>120</v>
      </c>
      <c r="F109" s="406" t="s">
        <v>466</v>
      </c>
      <c r="G109" s="406" t="s">
        <v>467</v>
      </c>
      <c r="H109" s="423" t="s">
        <v>412</v>
      </c>
      <c r="I109" s="406" t="s">
        <v>328</v>
      </c>
      <c r="J109" s="404">
        <v>35</v>
      </c>
      <c r="K109" s="409" t="str">
        <f>IF(J109&lt;=0,"",IF(J109&lt;=2,"Muy Baja",IF(J109&lt;=24,"Baja",IF(J109&lt;=500,"Media",IF(J109&lt;=5000,"Alta","Muy Alta")))))</f>
        <v>Media</v>
      </c>
      <c r="L109" s="412">
        <f>IF(K109="","",IF(K109="Muy Baja",0.2,IF(K109="Baja",0.4,IF(K109="Media",0.6,IF(K109="Alta",0.8,IF(K109="Muy Alta",1,))))))</f>
        <v>0.6</v>
      </c>
      <c r="M109" s="415" t="s">
        <v>490</v>
      </c>
      <c r="N109" s="177" t="str">
        <f>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409" t="str">
        <f>IF(OR(N109='Tabla Impacto'!$C$11,N109='Tabla Impacto'!$D$11),"Leve",IF(OR(N109='Tabla Impacto'!$C$12,N109='Tabla Impacto'!$D$12),"Menor",IF(OR(N109='Tabla Impacto'!$C$13,N109='Tabla Impacto'!$D$13),"Moderado",IF(OR(N109='Tabla Impacto'!$C$14,N109='Tabla Impacto'!$D$14),"Mayor",IF(OR(N109='Tabla Impacto'!$C$15,N109='Tabla Impacto'!$D$15),"Catastrófico","")))))</f>
        <v>Menor</v>
      </c>
      <c r="P109" s="412">
        <f>IF(O109="","",IF(O109="Leve",0.2,IF(O109="Menor",0.4,IF(O109="Moderado",0.6,IF(O109="Mayor",0.8,IF(O109="Catastrófico",1,))))))</f>
        <v>0.4</v>
      </c>
      <c r="Q109" s="428"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78">
        <v>1</v>
      </c>
      <c r="S109" s="174" t="s">
        <v>337</v>
      </c>
      <c r="T109" s="175" t="str">
        <f t="shared" ref="T109:T120" si="172">IF(OR(U109="Preventivo",U109="Detectivo"),"Probabilidad",IF(U109="Correctivo","Impacto",""))</f>
        <v>Probabilidad</v>
      </c>
      <c r="U109" s="179" t="s">
        <v>14</v>
      </c>
      <c r="V109" s="179" t="s">
        <v>9</v>
      </c>
      <c r="W109" s="180" t="str">
        <f t="shared" ref="W109:W119" si="173">IF(AND(U109="Preventivo",V109="Automático"),"50%",IF(AND(U109="Preventivo",V109="Manual"),"40%",IF(AND(U109="Detectivo",V109="Automático"),"40%",IF(AND(U109="Detectivo",V109="Manual"),"30%",IF(AND(U109="Correctivo",V109="Automático"),"35%",IF(AND(U109="Correctivo",V109="Manual"),"25%",""))))))</f>
        <v>40%</v>
      </c>
      <c r="X109" s="179" t="s">
        <v>19</v>
      </c>
      <c r="Y109" s="179" t="s">
        <v>22</v>
      </c>
      <c r="Z109" s="179" t="s">
        <v>110</v>
      </c>
      <c r="AA109" s="154">
        <f t="shared" ref="AA109:AA118" si="174">IFERROR(IF(T109="Probabilidad",(L109-(+L109*W109)),IF(T109="Impacto",L109,"")),"")</f>
        <v>0.36</v>
      </c>
      <c r="AB109" s="168" t="str">
        <f t="shared" ref="AB109:AB119" si="175">IFERROR(IF(AA109="","",IF(AA109&lt;=0.2,"Muy Baja",IF(AA109&lt;=0.4,"Baja",IF(AA109&lt;=0.6,"Media",IF(AA109&lt;=0.8,"Alta","Muy Alta"))))),"")</f>
        <v>Baja</v>
      </c>
      <c r="AC109" s="169">
        <f t="shared" ref="AC109:AC119" si="176">+AA109</f>
        <v>0.36</v>
      </c>
      <c r="AD109" s="168" t="str">
        <f t="shared" ref="AD109:AD119" si="177">IFERROR(IF(AE109="","",IF(AE109&lt;=0.2,"Leve",IF(AE109&lt;=0.4,"Menor",IF(AE109&lt;=0.6,"Moderado",IF(AE109&lt;=0.8,"Mayor","Catastrófico"))))),"")</f>
        <v>Menor</v>
      </c>
      <c r="AE109" s="169">
        <f t="shared" ref="AE109:AE119" si="178">IFERROR(IF(T109="Impacto",(P109-(+P109*W109)),IF(T109="Probabilidad",P109,"")),"")</f>
        <v>0.4</v>
      </c>
      <c r="AF109" s="170" t="str">
        <f t="shared" ref="AF109:AF119" si="179">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71" t="s">
        <v>122</v>
      </c>
      <c r="AH109" s="174" t="s">
        <v>513</v>
      </c>
      <c r="AI109" s="164" t="s">
        <v>260</v>
      </c>
      <c r="AJ109" s="165">
        <v>44563</v>
      </c>
      <c r="AK109" s="165" t="s">
        <v>373</v>
      </c>
      <c r="AL109" s="174" t="s">
        <v>413</v>
      </c>
      <c r="AM109" s="164"/>
    </row>
    <row r="110" spans="1:39" s="163" customFormat="1" ht="151.5" customHeight="1" x14ac:dyDescent="0.35">
      <c r="A110" s="422"/>
      <c r="B110" s="420"/>
      <c r="C110" s="418"/>
      <c r="D110" s="425"/>
      <c r="E110" s="407"/>
      <c r="F110" s="407"/>
      <c r="G110" s="407"/>
      <c r="H110" s="424"/>
      <c r="I110" s="407"/>
      <c r="J110" s="405"/>
      <c r="K110" s="410"/>
      <c r="L110" s="413"/>
      <c r="M110" s="416"/>
      <c r="N110" s="184"/>
      <c r="O110" s="410"/>
      <c r="P110" s="413"/>
      <c r="Q110" s="429"/>
      <c r="R110" s="178">
        <v>2</v>
      </c>
      <c r="S110" s="174" t="s">
        <v>347</v>
      </c>
      <c r="T110" s="175" t="str">
        <f t="shared" si="172"/>
        <v>Probabilidad</v>
      </c>
      <c r="U110" s="179" t="s">
        <v>15</v>
      </c>
      <c r="V110" s="179" t="s">
        <v>9</v>
      </c>
      <c r="W110" s="180" t="str">
        <f t="shared" si="173"/>
        <v>30%</v>
      </c>
      <c r="X110" s="179" t="s">
        <v>19</v>
      </c>
      <c r="Y110" s="179" t="s">
        <v>22</v>
      </c>
      <c r="Z110" s="179" t="s">
        <v>110</v>
      </c>
      <c r="AA110" s="154">
        <f>IFERROR(IF(T110="Probabilidad",(AA109-(+AA109*W110)),IF(T110="Impacto",L110,"")),"")</f>
        <v>0.252</v>
      </c>
      <c r="AB110" s="168" t="str">
        <f t="shared" si="175"/>
        <v>Baja</v>
      </c>
      <c r="AC110" s="169">
        <f t="shared" si="176"/>
        <v>0.252</v>
      </c>
      <c r="AD110" s="168" t="str">
        <f t="shared" si="177"/>
        <v>Menor</v>
      </c>
      <c r="AE110" s="169">
        <v>0.4</v>
      </c>
      <c r="AF110" s="170" t="str">
        <f t="shared" si="179"/>
        <v>Moderado</v>
      </c>
      <c r="AG110" s="171" t="s">
        <v>122</v>
      </c>
      <c r="AH110" s="174" t="s">
        <v>513</v>
      </c>
      <c r="AI110" s="164" t="s">
        <v>260</v>
      </c>
      <c r="AJ110" s="165">
        <v>44563</v>
      </c>
      <c r="AK110" s="165" t="s">
        <v>373</v>
      </c>
      <c r="AL110" s="174" t="s">
        <v>413</v>
      </c>
      <c r="AM110" s="164"/>
    </row>
    <row r="111" spans="1:39" s="163" customFormat="1" ht="151.5" customHeight="1" x14ac:dyDescent="0.35">
      <c r="A111" s="422"/>
      <c r="B111" s="421"/>
      <c r="C111" s="418"/>
      <c r="D111" s="425"/>
      <c r="E111" s="407"/>
      <c r="F111" s="407"/>
      <c r="G111" s="407"/>
      <c r="H111" s="424"/>
      <c r="I111" s="407"/>
      <c r="J111" s="405"/>
      <c r="K111" s="411"/>
      <c r="L111" s="414"/>
      <c r="M111" s="416"/>
      <c r="N111" s="184"/>
      <c r="O111" s="411"/>
      <c r="P111" s="414"/>
      <c r="Q111" s="430"/>
      <c r="R111" s="178">
        <v>3</v>
      </c>
      <c r="S111" s="174"/>
      <c r="T111" s="175" t="str">
        <f t="shared" si="172"/>
        <v/>
      </c>
      <c r="U111" s="179"/>
      <c r="V111" s="179"/>
      <c r="W111" s="180"/>
      <c r="X111" s="179"/>
      <c r="Y111" s="179"/>
      <c r="Z111" s="179"/>
      <c r="AA111" s="154" t="str">
        <f>IFERROR(IF(T111="Probabilidad",(AA110-(+AA110*W111)),IF(T111="Impacto",L111,"")),"")</f>
        <v/>
      </c>
      <c r="AB111" s="168" t="str">
        <f t="shared" si="175"/>
        <v/>
      </c>
      <c r="AC111" s="169" t="str">
        <f t="shared" si="176"/>
        <v/>
      </c>
      <c r="AD111" s="168" t="str">
        <f t="shared" si="177"/>
        <v/>
      </c>
      <c r="AE111" s="169" t="str">
        <f t="shared" si="178"/>
        <v/>
      </c>
      <c r="AF111" s="170" t="str">
        <f t="shared" si="179"/>
        <v/>
      </c>
      <c r="AG111" s="171"/>
      <c r="AH111" s="174"/>
      <c r="AI111" s="164"/>
      <c r="AJ111" s="165"/>
      <c r="AK111" s="165"/>
      <c r="AL111" s="174"/>
      <c r="AM111" s="164"/>
    </row>
    <row r="112" spans="1:39" s="163" customFormat="1" ht="151.5" customHeight="1" x14ac:dyDescent="0.35">
      <c r="A112" s="422">
        <v>37</v>
      </c>
      <c r="B112" s="419" t="s">
        <v>317</v>
      </c>
      <c r="C112" s="417" t="s">
        <v>352</v>
      </c>
      <c r="D112" s="417" t="s">
        <v>411</v>
      </c>
      <c r="E112" s="406" t="s">
        <v>120</v>
      </c>
      <c r="F112" s="406" t="s">
        <v>468</v>
      </c>
      <c r="G112" s="406" t="s">
        <v>469</v>
      </c>
      <c r="H112" s="423" t="s">
        <v>338</v>
      </c>
      <c r="I112" s="406" t="s">
        <v>328</v>
      </c>
      <c r="J112" s="404">
        <v>12</v>
      </c>
      <c r="K112" s="409" t="str">
        <f>IF(J112&lt;=0,"",IF(J112&lt;=2,"Muy Baja",IF(J112&lt;=24,"Baja",IF(J112&lt;=500,"Media",IF(J112&lt;=5000,"Alta","Muy Alta")))))</f>
        <v>Baja</v>
      </c>
      <c r="L112" s="412">
        <f>IF(K112="","",IF(K112="Muy Baja",0.2,IF(K112="Baja",0.4,IF(K112="Media",0.6,IF(K112="Alta",0.8,IF(K112="Muy Alta",1,))))))</f>
        <v>0.4</v>
      </c>
      <c r="M112" s="415" t="s">
        <v>490</v>
      </c>
      <c r="N112" s="177"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409"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412">
        <f>IF(O112="","",IF(O112="Leve",0.2,IF(O112="Menor",0.4,IF(O112="Moderado",0.6,IF(O112="Mayor",0.8,IF(O112="Catastrófico",1,))))))</f>
        <v>0.4</v>
      </c>
      <c r="Q112" s="428"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78">
        <v>1</v>
      </c>
      <c r="S112" s="174" t="s">
        <v>514</v>
      </c>
      <c r="T112" s="175" t="str">
        <f t="shared" si="172"/>
        <v>Probabilidad</v>
      </c>
      <c r="U112" s="179" t="s">
        <v>14</v>
      </c>
      <c r="V112" s="179" t="s">
        <v>9</v>
      </c>
      <c r="W112" s="180" t="str">
        <f t="shared" si="173"/>
        <v>40%</v>
      </c>
      <c r="X112" s="179" t="s">
        <v>19</v>
      </c>
      <c r="Y112" s="179" t="s">
        <v>22</v>
      </c>
      <c r="Z112" s="179" t="s">
        <v>110</v>
      </c>
      <c r="AA112" s="154">
        <f t="shared" si="174"/>
        <v>0.24</v>
      </c>
      <c r="AB112" s="168" t="str">
        <f t="shared" si="175"/>
        <v>Baja</v>
      </c>
      <c r="AC112" s="169">
        <f t="shared" si="176"/>
        <v>0.24</v>
      </c>
      <c r="AD112" s="168" t="str">
        <f t="shared" si="177"/>
        <v>Menor</v>
      </c>
      <c r="AE112" s="169">
        <f t="shared" si="178"/>
        <v>0.4</v>
      </c>
      <c r="AF112" s="170" t="str">
        <f t="shared" si="179"/>
        <v>Moderado</v>
      </c>
      <c r="AG112" s="171" t="s">
        <v>122</v>
      </c>
      <c r="AH112" s="174" t="s">
        <v>515</v>
      </c>
      <c r="AI112" s="164" t="s">
        <v>203</v>
      </c>
      <c r="AJ112" s="165">
        <v>44568</v>
      </c>
      <c r="AK112" s="165" t="s">
        <v>373</v>
      </c>
      <c r="AL112" s="174" t="s">
        <v>414</v>
      </c>
      <c r="AM112" s="164"/>
    </row>
    <row r="113" spans="1:39" s="163" customFormat="1" ht="151.5" customHeight="1" x14ac:dyDescent="0.35">
      <c r="A113" s="422"/>
      <c r="B113" s="420"/>
      <c r="C113" s="418"/>
      <c r="D113" s="425"/>
      <c r="E113" s="407"/>
      <c r="F113" s="407"/>
      <c r="G113" s="407"/>
      <c r="H113" s="424"/>
      <c r="I113" s="407"/>
      <c r="J113" s="405"/>
      <c r="K113" s="410"/>
      <c r="L113" s="413"/>
      <c r="M113" s="416"/>
      <c r="N113" s="184"/>
      <c r="O113" s="410"/>
      <c r="P113" s="413"/>
      <c r="Q113" s="429"/>
      <c r="R113" s="178">
        <v>2</v>
      </c>
      <c r="S113" s="174" t="s">
        <v>361</v>
      </c>
      <c r="T113" s="175" t="str">
        <f t="shared" si="172"/>
        <v>Probabilidad</v>
      </c>
      <c r="U113" s="179" t="s">
        <v>15</v>
      </c>
      <c r="V113" s="179" t="s">
        <v>9</v>
      </c>
      <c r="W113" s="180" t="str">
        <f t="shared" si="173"/>
        <v>30%</v>
      </c>
      <c r="X113" s="179" t="s">
        <v>19</v>
      </c>
      <c r="Y113" s="179" t="s">
        <v>22</v>
      </c>
      <c r="Z113" s="179" t="s">
        <v>110</v>
      </c>
      <c r="AA113" s="154">
        <f>IFERROR(IF(T113="Probabilidad",(AA112-(+AA112*W113)),IF(T113="Impacto",L113,"")),"")</f>
        <v>0.16799999999999998</v>
      </c>
      <c r="AB113" s="168" t="str">
        <f t="shared" si="175"/>
        <v>Muy Baja</v>
      </c>
      <c r="AC113" s="169">
        <f t="shared" si="176"/>
        <v>0.16799999999999998</v>
      </c>
      <c r="AD113" s="168" t="str">
        <f t="shared" si="177"/>
        <v>Menor</v>
      </c>
      <c r="AE113" s="169">
        <v>0.4</v>
      </c>
      <c r="AF113" s="170" t="str">
        <f t="shared" si="179"/>
        <v>Bajo</v>
      </c>
      <c r="AG113" s="171" t="s">
        <v>122</v>
      </c>
      <c r="AH113" s="174" t="s">
        <v>516</v>
      </c>
      <c r="AI113" s="164" t="s">
        <v>203</v>
      </c>
      <c r="AJ113" s="165">
        <v>44564</v>
      </c>
      <c r="AK113" s="165" t="s">
        <v>373</v>
      </c>
      <c r="AL113" s="174" t="s">
        <v>414</v>
      </c>
      <c r="AM113" s="164"/>
    </row>
    <row r="114" spans="1:39" s="163" customFormat="1" ht="151.5" customHeight="1" x14ac:dyDescent="0.35">
      <c r="A114" s="422"/>
      <c r="B114" s="421"/>
      <c r="C114" s="418"/>
      <c r="D114" s="425"/>
      <c r="E114" s="407"/>
      <c r="F114" s="407"/>
      <c r="G114" s="407"/>
      <c r="H114" s="424"/>
      <c r="I114" s="407"/>
      <c r="J114" s="405"/>
      <c r="K114" s="411"/>
      <c r="L114" s="414"/>
      <c r="M114" s="416"/>
      <c r="N114" s="184"/>
      <c r="O114" s="411"/>
      <c r="P114" s="414"/>
      <c r="Q114" s="430"/>
      <c r="R114" s="178">
        <v>3</v>
      </c>
      <c r="S114" s="174"/>
      <c r="T114" s="175" t="str">
        <f t="shared" si="172"/>
        <v/>
      </c>
      <c r="U114" s="179"/>
      <c r="V114" s="179"/>
      <c r="W114" s="180"/>
      <c r="X114" s="179"/>
      <c r="Y114" s="179"/>
      <c r="Z114" s="179"/>
      <c r="AA114" s="154" t="str">
        <f>IFERROR(IF(T114="Probabilidad",(AA113-(+AA113*W114)),IF(T114="Impacto",L114,"")),"")</f>
        <v/>
      </c>
      <c r="AB114" s="168" t="str">
        <f t="shared" si="175"/>
        <v/>
      </c>
      <c r="AC114" s="169" t="str">
        <f t="shared" si="176"/>
        <v/>
      </c>
      <c r="AD114" s="168" t="str">
        <f t="shared" si="177"/>
        <v/>
      </c>
      <c r="AE114" s="169" t="str">
        <f t="shared" si="178"/>
        <v/>
      </c>
      <c r="AF114" s="170" t="str">
        <f t="shared" si="179"/>
        <v/>
      </c>
      <c r="AG114" s="171"/>
      <c r="AH114" s="174"/>
      <c r="AI114" s="164"/>
      <c r="AJ114" s="165"/>
      <c r="AK114" s="165"/>
      <c r="AL114" s="174"/>
      <c r="AM114" s="164"/>
    </row>
    <row r="115" spans="1:39" s="163" customFormat="1" ht="151.5" customHeight="1" x14ac:dyDescent="0.35">
      <c r="A115" s="422">
        <v>38</v>
      </c>
      <c r="B115" s="401" t="s">
        <v>317</v>
      </c>
      <c r="C115" s="417" t="s">
        <v>352</v>
      </c>
      <c r="D115" s="417" t="s">
        <v>415</v>
      </c>
      <c r="E115" s="406" t="s">
        <v>120</v>
      </c>
      <c r="F115" s="406" t="s">
        <v>470</v>
      </c>
      <c r="G115" s="406" t="s">
        <v>544</v>
      </c>
      <c r="H115" s="423" t="s">
        <v>551</v>
      </c>
      <c r="I115" s="406" t="s">
        <v>115</v>
      </c>
      <c r="J115" s="404">
        <v>3000</v>
      </c>
      <c r="K115" s="409" t="str">
        <f>IF(J115&lt;=0,"",IF(J115&lt;=2,"Muy Baja",IF(J115&lt;=24,"Baja",IF(J115&lt;=500,"Media",IF(J115&lt;=5000,"Alta","Muy Alta")))))</f>
        <v>Alta</v>
      </c>
      <c r="L115" s="412">
        <f>IF(K115="","",IF(K115="Muy Baja",0.2,IF(K115="Baja",0.4,IF(K115="Media",0.6,IF(K115="Alta",0.8,IF(K115="Muy Alta",1,))))))</f>
        <v>0.8</v>
      </c>
      <c r="M115" s="415" t="s">
        <v>484</v>
      </c>
      <c r="N115" s="177" t="str">
        <f>IF(NOT(ISERROR(MATCH(M115,'Tabla Impacto'!$B$221:$B$223,0))),'Tabla Impacto'!$F$223&amp;"Por favor no seleccionar los criterios de impacto(Afectación Económica o presupuestal y Pérdida Reputacional)",M115)</f>
        <v xml:space="preserve"> Entre 50 y 100 SMLMV </v>
      </c>
      <c r="O115" s="409" t="str">
        <f>IF(OR(N115='Tabla Impacto'!$C$11,N115='Tabla Impacto'!$D$11),"Leve",IF(OR(N115='Tabla Impacto'!$C$12,N115='Tabla Impacto'!$D$12),"Menor",IF(OR(N115='Tabla Impacto'!$C$13,N115='Tabla Impacto'!$D$13),"Moderado",IF(OR(N115='Tabla Impacto'!$C$14,N115='Tabla Impacto'!$D$14),"Mayor",IF(OR(N115='Tabla Impacto'!$C$15,N115='Tabla Impacto'!$D$15),"Catastrófico","")))))</f>
        <v>Moderado</v>
      </c>
      <c r="P115" s="412">
        <f>IF(O115="","",IF(O115="Leve",0.2,IF(O115="Menor",0.4,IF(O115="Moderado",0.6,IF(O115="Mayor",0.8,IF(O115="Catastrófico",1,))))))</f>
        <v>0.6</v>
      </c>
      <c r="Q115" s="428"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78">
        <v>1</v>
      </c>
      <c r="S115" s="174" t="s">
        <v>362</v>
      </c>
      <c r="T115" s="175" t="str">
        <f t="shared" si="172"/>
        <v>Probabilidad</v>
      </c>
      <c r="U115" s="179" t="s">
        <v>14</v>
      </c>
      <c r="V115" s="179" t="s">
        <v>9</v>
      </c>
      <c r="W115" s="180" t="str">
        <f t="shared" si="173"/>
        <v>40%</v>
      </c>
      <c r="X115" s="179" t="s">
        <v>19</v>
      </c>
      <c r="Y115" s="179" t="s">
        <v>22</v>
      </c>
      <c r="Z115" s="179" t="s">
        <v>110</v>
      </c>
      <c r="AA115" s="154">
        <f t="shared" si="174"/>
        <v>0.48</v>
      </c>
      <c r="AB115" s="168" t="str">
        <f t="shared" si="175"/>
        <v>Media</v>
      </c>
      <c r="AC115" s="169">
        <f t="shared" si="176"/>
        <v>0.48</v>
      </c>
      <c r="AD115" s="168" t="str">
        <f t="shared" si="177"/>
        <v>Moderado</v>
      </c>
      <c r="AE115" s="169">
        <f t="shared" si="178"/>
        <v>0.6</v>
      </c>
      <c r="AF115" s="170" t="str">
        <f t="shared" si="179"/>
        <v>Moderado</v>
      </c>
      <c r="AG115" s="171" t="s">
        <v>122</v>
      </c>
      <c r="AH115" s="174" t="s">
        <v>517</v>
      </c>
      <c r="AI115" s="164" t="s">
        <v>203</v>
      </c>
      <c r="AJ115" s="165">
        <v>44564</v>
      </c>
      <c r="AK115" s="165" t="s">
        <v>373</v>
      </c>
      <c r="AL115" s="174" t="s">
        <v>413</v>
      </c>
      <c r="AM115" s="164"/>
    </row>
    <row r="116" spans="1:39" s="163" customFormat="1" ht="151.5" customHeight="1" x14ac:dyDescent="0.35">
      <c r="A116" s="422"/>
      <c r="B116" s="402"/>
      <c r="C116" s="418"/>
      <c r="D116" s="425"/>
      <c r="E116" s="407"/>
      <c r="F116" s="407"/>
      <c r="G116" s="407"/>
      <c r="H116" s="424"/>
      <c r="I116" s="407"/>
      <c r="J116" s="405"/>
      <c r="K116" s="410"/>
      <c r="L116" s="413"/>
      <c r="M116" s="416"/>
      <c r="N116" s="184"/>
      <c r="O116" s="410"/>
      <c r="P116" s="413"/>
      <c r="Q116" s="429"/>
      <c r="R116" s="178">
        <v>2</v>
      </c>
      <c r="S116" s="174" t="s">
        <v>416</v>
      </c>
      <c r="T116" s="175" t="str">
        <f t="shared" si="172"/>
        <v>Probabilidad</v>
      </c>
      <c r="U116" s="179" t="s">
        <v>14</v>
      </c>
      <c r="V116" s="179" t="s">
        <v>9</v>
      </c>
      <c r="W116" s="180" t="str">
        <f t="shared" si="173"/>
        <v>40%</v>
      </c>
      <c r="X116" s="179" t="s">
        <v>19</v>
      </c>
      <c r="Y116" s="179" t="s">
        <v>22</v>
      </c>
      <c r="Z116" s="179" t="s">
        <v>110</v>
      </c>
      <c r="AA116" s="154">
        <f>IFERROR(IF(T116="Probabilidad",(AA115-(+AA115*W116)),IF(T116="Impacto",L116,"")),"")</f>
        <v>0.28799999999999998</v>
      </c>
      <c r="AB116" s="168" t="str">
        <f t="shared" si="175"/>
        <v>Baja</v>
      </c>
      <c r="AC116" s="169">
        <f t="shared" si="176"/>
        <v>0.28799999999999998</v>
      </c>
      <c r="AD116" s="168" t="str">
        <f t="shared" si="177"/>
        <v>Menor</v>
      </c>
      <c r="AE116" s="169">
        <v>0.4</v>
      </c>
      <c r="AF116" s="170" t="str">
        <f t="shared" si="179"/>
        <v>Moderado</v>
      </c>
      <c r="AG116" s="171" t="s">
        <v>122</v>
      </c>
      <c r="AH116" s="174" t="s">
        <v>517</v>
      </c>
      <c r="AI116" s="164" t="s">
        <v>203</v>
      </c>
      <c r="AJ116" s="165">
        <v>44564</v>
      </c>
      <c r="AK116" s="165" t="s">
        <v>373</v>
      </c>
      <c r="AL116" s="174" t="s">
        <v>413</v>
      </c>
      <c r="AM116" s="164"/>
    </row>
    <row r="117" spans="1:39" s="163" customFormat="1" ht="151.5" customHeight="1" x14ac:dyDescent="0.35">
      <c r="A117" s="422"/>
      <c r="B117" s="403"/>
      <c r="C117" s="418"/>
      <c r="D117" s="425"/>
      <c r="E117" s="407"/>
      <c r="F117" s="407"/>
      <c r="G117" s="407"/>
      <c r="H117" s="424"/>
      <c r="I117" s="407"/>
      <c r="J117" s="405"/>
      <c r="K117" s="411"/>
      <c r="L117" s="414"/>
      <c r="M117" s="416"/>
      <c r="N117" s="184"/>
      <c r="O117" s="411"/>
      <c r="P117" s="414"/>
      <c r="Q117" s="430"/>
      <c r="R117" s="178">
        <v>3</v>
      </c>
      <c r="S117" s="174" t="s">
        <v>363</v>
      </c>
      <c r="T117" s="175" t="str">
        <f t="shared" si="172"/>
        <v>Probabilidad</v>
      </c>
      <c r="U117" s="179" t="s">
        <v>14</v>
      </c>
      <c r="V117" s="179" t="s">
        <v>9</v>
      </c>
      <c r="W117" s="180" t="str">
        <f t="shared" si="173"/>
        <v>40%</v>
      </c>
      <c r="X117" s="179" t="s">
        <v>19</v>
      </c>
      <c r="Y117" s="179" t="s">
        <v>22</v>
      </c>
      <c r="Z117" s="179" t="s">
        <v>110</v>
      </c>
      <c r="AA117" s="154">
        <f>IFERROR(IF(T117="Probabilidad",(AA116-(+A116*W117)),IF(T117="Impacto",L117,"")),"")</f>
        <v>0.28799999999999998</v>
      </c>
      <c r="AB117" s="168" t="str">
        <f t="shared" si="175"/>
        <v>Baja</v>
      </c>
      <c r="AC117" s="169">
        <f t="shared" si="176"/>
        <v>0.28799999999999998</v>
      </c>
      <c r="AD117" s="168" t="str">
        <f t="shared" si="177"/>
        <v>Menor</v>
      </c>
      <c r="AE117" s="169">
        <v>0.4</v>
      </c>
      <c r="AF117" s="170" t="str">
        <f t="shared" si="179"/>
        <v>Moderado</v>
      </c>
      <c r="AG117" s="171" t="s">
        <v>122</v>
      </c>
      <c r="AH117" s="174" t="s">
        <v>517</v>
      </c>
      <c r="AI117" s="164" t="s">
        <v>203</v>
      </c>
      <c r="AJ117" s="165">
        <v>44564</v>
      </c>
      <c r="AK117" s="165" t="s">
        <v>373</v>
      </c>
      <c r="AL117" s="174" t="s">
        <v>413</v>
      </c>
      <c r="AM117" s="164"/>
    </row>
    <row r="118" spans="1:39" s="163" customFormat="1" ht="151.5" customHeight="1" x14ac:dyDescent="0.35">
      <c r="A118" s="422">
        <v>39</v>
      </c>
      <c r="B118" s="419" t="s">
        <v>417</v>
      </c>
      <c r="C118" s="427" t="s">
        <v>418</v>
      </c>
      <c r="D118" s="417" t="s">
        <v>419</v>
      </c>
      <c r="E118" s="406" t="s">
        <v>120</v>
      </c>
      <c r="F118" s="426" t="s">
        <v>497</v>
      </c>
      <c r="G118" s="426" t="s">
        <v>420</v>
      </c>
      <c r="H118" s="423" t="s">
        <v>498</v>
      </c>
      <c r="I118" s="406" t="s">
        <v>328</v>
      </c>
      <c r="J118" s="404">
        <v>49</v>
      </c>
      <c r="K118" s="409" t="str">
        <f>IF(J118&lt;=0,"",IF(J118&lt;=2,"Muy Baja",IF(J118&lt;=24,"Baja",IF(J118&lt;=500,"Media",IF(J118&lt;=5000,"Alta","Muy Alta")))))</f>
        <v>Media</v>
      </c>
      <c r="L118" s="412">
        <f>IF(K118="","",IF(K118="Muy Baja",0.2,IF(K118="Baja",0.4,IF(K118="Media",0.6,IF(K118="Alta",0.8,IF(K118="Muy Alta",1,))))))</f>
        <v>0.6</v>
      </c>
      <c r="M118" s="415" t="s">
        <v>485</v>
      </c>
      <c r="N118" s="177" t="str">
        <f>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409"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412">
        <f>IF(O118="","",IF(O118="Leve",0.2,IF(O118="Menor",0.4,IF(O118="Moderado",0.6,IF(O118="Mayor",0.8,IF(O118="Catastrófico",1,))))))</f>
        <v>0.6</v>
      </c>
      <c r="Q118" s="428"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78">
        <v>1</v>
      </c>
      <c r="S118" s="186" t="s">
        <v>499</v>
      </c>
      <c r="T118" s="175" t="str">
        <f t="shared" si="172"/>
        <v>Probabilidad</v>
      </c>
      <c r="U118" s="179" t="s">
        <v>14</v>
      </c>
      <c r="V118" s="179" t="s">
        <v>9</v>
      </c>
      <c r="W118" s="180" t="str">
        <f t="shared" si="173"/>
        <v>40%</v>
      </c>
      <c r="X118" s="179" t="s">
        <v>19</v>
      </c>
      <c r="Y118" s="179" t="s">
        <v>22</v>
      </c>
      <c r="Z118" s="179" t="s">
        <v>110</v>
      </c>
      <c r="AA118" s="154">
        <f t="shared" si="174"/>
        <v>0.36</v>
      </c>
      <c r="AB118" s="168" t="str">
        <f t="shared" si="175"/>
        <v>Baja</v>
      </c>
      <c r="AC118" s="169">
        <f t="shared" si="176"/>
        <v>0.36</v>
      </c>
      <c r="AD118" s="168" t="str">
        <f t="shared" si="177"/>
        <v>Moderado</v>
      </c>
      <c r="AE118" s="169">
        <f t="shared" si="178"/>
        <v>0.6</v>
      </c>
      <c r="AF118" s="170" t="str">
        <f t="shared" si="179"/>
        <v>Moderado</v>
      </c>
      <c r="AG118" s="171" t="s">
        <v>122</v>
      </c>
      <c r="AH118" s="187" t="s">
        <v>422</v>
      </c>
      <c r="AI118" s="166" t="s">
        <v>421</v>
      </c>
      <c r="AJ118" s="165" t="s">
        <v>196</v>
      </c>
      <c r="AK118" s="165" t="s">
        <v>423</v>
      </c>
      <c r="AL118" s="172" t="s">
        <v>550</v>
      </c>
      <c r="AM118" s="164"/>
    </row>
    <row r="119" spans="1:39" s="163" customFormat="1" ht="151.5" customHeight="1" x14ac:dyDescent="0.35">
      <c r="A119" s="422"/>
      <c r="B119" s="420"/>
      <c r="C119" s="425"/>
      <c r="D119" s="425"/>
      <c r="E119" s="407"/>
      <c r="F119" s="407"/>
      <c r="G119" s="407"/>
      <c r="H119" s="424"/>
      <c r="I119" s="407"/>
      <c r="J119" s="405"/>
      <c r="K119" s="410"/>
      <c r="L119" s="413"/>
      <c r="M119" s="416"/>
      <c r="N119" s="184"/>
      <c r="O119" s="410"/>
      <c r="P119" s="413"/>
      <c r="Q119" s="429"/>
      <c r="R119" s="178">
        <v>2</v>
      </c>
      <c r="S119" s="188" t="s">
        <v>523</v>
      </c>
      <c r="T119" s="175" t="str">
        <f t="shared" si="172"/>
        <v>Probabilidad</v>
      </c>
      <c r="U119" s="179" t="s">
        <v>15</v>
      </c>
      <c r="V119" s="179" t="s">
        <v>9</v>
      </c>
      <c r="W119" s="180" t="str">
        <f t="shared" si="173"/>
        <v>30%</v>
      </c>
      <c r="X119" s="179" t="s">
        <v>19</v>
      </c>
      <c r="Y119" s="179" t="s">
        <v>23</v>
      </c>
      <c r="Z119" s="179" t="s">
        <v>110</v>
      </c>
      <c r="AA119" s="154">
        <f>IFERROR(IF(T119="Probabilidad",(AA118-(+AA118*W119)),IF(T119="Impacto",L119,"")),"")</f>
        <v>0.252</v>
      </c>
      <c r="AB119" s="168" t="str">
        <f t="shared" si="175"/>
        <v>Baja</v>
      </c>
      <c r="AC119" s="169">
        <f t="shared" si="176"/>
        <v>0.252</v>
      </c>
      <c r="AD119" s="168" t="str">
        <f t="shared" si="177"/>
        <v>Leve</v>
      </c>
      <c r="AE119" s="169">
        <f t="shared" si="178"/>
        <v>0</v>
      </c>
      <c r="AF119" s="170" t="str">
        <f t="shared" si="179"/>
        <v>Bajo</v>
      </c>
      <c r="AG119" s="171" t="s">
        <v>122</v>
      </c>
      <c r="AH119" s="221" t="s">
        <v>500</v>
      </c>
      <c r="AI119" s="189" t="s">
        <v>203</v>
      </c>
      <c r="AJ119" s="165" t="s">
        <v>196</v>
      </c>
      <c r="AK119" s="165" t="s">
        <v>196</v>
      </c>
      <c r="AL119" s="187" t="s">
        <v>424</v>
      </c>
      <c r="AM119" s="164"/>
    </row>
    <row r="120" spans="1:39" s="163" customFormat="1" ht="151.5" customHeight="1" x14ac:dyDescent="0.35">
      <c r="A120" s="422"/>
      <c r="B120" s="421"/>
      <c r="C120" s="425"/>
      <c r="D120" s="425"/>
      <c r="E120" s="407"/>
      <c r="F120" s="407"/>
      <c r="G120" s="407"/>
      <c r="H120" s="424"/>
      <c r="I120" s="407"/>
      <c r="J120" s="405"/>
      <c r="K120" s="411"/>
      <c r="L120" s="414"/>
      <c r="M120" s="416"/>
      <c r="N120" s="184"/>
      <c r="O120" s="411"/>
      <c r="P120" s="414"/>
      <c r="Q120" s="430"/>
      <c r="R120" s="178">
        <v>3</v>
      </c>
      <c r="S120" s="174"/>
      <c r="T120" s="175" t="str">
        <f t="shared" si="172"/>
        <v/>
      </c>
      <c r="U120" s="179"/>
      <c r="V120" s="179"/>
      <c r="W120" s="180"/>
      <c r="X120" s="179"/>
      <c r="Y120" s="179"/>
      <c r="Z120" s="179"/>
      <c r="AA120" s="154"/>
      <c r="AB120" s="168"/>
      <c r="AC120" s="169"/>
      <c r="AD120" s="168"/>
      <c r="AE120" s="169"/>
      <c r="AF120" s="170"/>
      <c r="AG120" s="171"/>
      <c r="AH120" s="174"/>
      <c r="AI120" s="164"/>
      <c r="AJ120" s="165"/>
      <c r="AK120" s="165"/>
      <c r="AL120" s="174"/>
      <c r="AM120" s="164"/>
    </row>
    <row r="121" spans="1:39" s="163" customFormat="1" ht="151.5" customHeight="1" x14ac:dyDescent="0.35">
      <c r="A121" s="422">
        <v>40</v>
      </c>
      <c r="B121" s="419" t="s">
        <v>417</v>
      </c>
      <c r="C121" s="427" t="s">
        <v>418</v>
      </c>
      <c r="D121" s="417" t="s">
        <v>419</v>
      </c>
      <c r="E121" s="406" t="s">
        <v>120</v>
      </c>
      <c r="F121" s="426" t="s">
        <v>501</v>
      </c>
      <c r="G121" s="426" t="s">
        <v>502</v>
      </c>
      <c r="H121" s="423" t="s">
        <v>503</v>
      </c>
      <c r="I121" s="406" t="s">
        <v>328</v>
      </c>
      <c r="J121" s="404">
        <v>60</v>
      </c>
      <c r="K121" s="409" t="str">
        <f>IF(J121&lt;=0,"",IF(J121&lt;=2,"Muy Baja",IF(J121&lt;=24,"Baja",IF(J121&lt;=500,"Media",IF(J121&lt;=5000,"Alta","Muy Alta")))))</f>
        <v>Media</v>
      </c>
      <c r="L121" s="412">
        <f>IF(K121="","",IF(K121="Muy Baja",0.2,IF(K121="Baja",0.4,IF(K121="Media",0.6,IF(K121="Alta",0.8,IF(K121="Muy Alta",1,))))))</f>
        <v>0.6</v>
      </c>
      <c r="M121" s="415" t="s">
        <v>485</v>
      </c>
      <c r="N121" s="177"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409"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412">
        <f>IF(O121="","",IF(O121="Leve",0.2,IF(O121="Menor",0.4,IF(O121="Moderado",0.6,IF(O121="Mayor",0.8,IF(O121="Catastrófico",1,))))))</f>
        <v>0.6</v>
      </c>
      <c r="Q121" s="428"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78">
        <v>1</v>
      </c>
      <c r="S121" s="174" t="s">
        <v>511</v>
      </c>
      <c r="T121" s="175" t="str">
        <f t="shared" ref="T121:T150" si="180">IF(OR(U121="Preventivo",U121="Detectivo"),"Probabilidad",IF(U121="Correctivo","Impacto",""))</f>
        <v>Probabilidad</v>
      </c>
      <c r="U121" s="179" t="s">
        <v>15</v>
      </c>
      <c r="V121" s="179" t="s">
        <v>9</v>
      </c>
      <c r="W121" s="180" t="str">
        <f t="shared" ref="W121:W150" si="181">IF(AND(U121="Preventivo",V121="Automático"),"50%",IF(AND(U121="Preventivo",V121="Manual"),"40%",IF(AND(U121="Detectivo",V121="Automático"),"40%",IF(AND(U121="Detectivo",V121="Manual"),"30%",IF(AND(U121="Correctivo",V121="Automático"),"35%",IF(AND(U121="Correctivo",V121="Manual"),"25%",""))))))</f>
        <v>30%</v>
      </c>
      <c r="X121" s="179" t="s">
        <v>20</v>
      </c>
      <c r="Y121" s="179" t="s">
        <v>23</v>
      </c>
      <c r="Z121" s="179" t="s">
        <v>111</v>
      </c>
      <c r="AA121" s="154">
        <f t="shared" ref="AA121:AA150" si="182">IFERROR(IF(T121="Probabilidad",(L121-(+L121*W121)),IF(T121="Impacto",L121,"")),"")</f>
        <v>0.42</v>
      </c>
      <c r="AB121" s="168" t="str">
        <f t="shared" ref="AB121:AB150" si="183">IFERROR(IF(AA121="","",IF(AA121&lt;=0.2,"Muy Baja",IF(AA121&lt;=0.4,"Baja",IF(AA121&lt;=0.6,"Media",IF(AA121&lt;=0.8,"Alta","Muy Alta"))))),"")</f>
        <v>Media</v>
      </c>
      <c r="AC121" s="169">
        <f t="shared" ref="AC121:AC150" si="184">+AA121</f>
        <v>0.42</v>
      </c>
      <c r="AD121" s="168" t="str">
        <f t="shared" ref="AD121:AD150" si="185">IFERROR(IF(AE121="","",IF(AE121&lt;=0.2,"Leve",IF(AE121&lt;=0.4,"Menor",IF(AE121&lt;=0.6,"Moderado",IF(AE121&lt;=0.8,"Mayor","Catastrófico"))))),"")</f>
        <v>Moderado</v>
      </c>
      <c r="AE121" s="169">
        <f t="shared" ref="AE121:AE150" si="186">IFERROR(IF(T121="Impacto",(P121-(+P121*W121)),IF(T121="Probabilidad",P121,"")),"")</f>
        <v>0.6</v>
      </c>
      <c r="AF121" s="170" t="str">
        <f t="shared" ref="AF121:AF150" si="187">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Moderado</v>
      </c>
      <c r="AG121" s="171" t="s">
        <v>122</v>
      </c>
      <c r="AH121" s="174" t="s">
        <v>504</v>
      </c>
      <c r="AI121" s="164" t="s">
        <v>421</v>
      </c>
      <c r="AJ121" s="165" t="s">
        <v>196</v>
      </c>
      <c r="AK121" s="165" t="s">
        <v>196</v>
      </c>
      <c r="AL121" s="174" t="s">
        <v>425</v>
      </c>
      <c r="AM121" s="164"/>
    </row>
    <row r="122" spans="1:39" s="163" customFormat="1" ht="151.5" customHeight="1" x14ac:dyDescent="0.35">
      <c r="A122" s="422"/>
      <c r="B122" s="420"/>
      <c r="C122" s="425"/>
      <c r="D122" s="425"/>
      <c r="E122" s="407"/>
      <c r="F122" s="407"/>
      <c r="G122" s="407"/>
      <c r="H122" s="424"/>
      <c r="I122" s="407"/>
      <c r="J122" s="405"/>
      <c r="K122" s="410"/>
      <c r="L122" s="413"/>
      <c r="M122" s="416"/>
      <c r="N122" s="184"/>
      <c r="O122" s="410"/>
      <c r="P122" s="413"/>
      <c r="Q122" s="429"/>
      <c r="R122" s="178">
        <v>2</v>
      </c>
      <c r="S122" s="174"/>
      <c r="T122" s="175" t="str">
        <f t="shared" si="180"/>
        <v/>
      </c>
      <c r="U122" s="179"/>
      <c r="V122" s="179"/>
      <c r="W122" s="180"/>
      <c r="X122" s="179"/>
      <c r="Y122" s="179"/>
      <c r="Z122" s="179"/>
      <c r="AA122" s="154" t="str">
        <f>IFERROR(IF(T122="Probabilidad",(AA121-(+AA121*W122)),IF(T122="Impacto",L122,"")),"")</f>
        <v/>
      </c>
      <c r="AB122" s="168" t="str">
        <f t="shared" si="183"/>
        <v/>
      </c>
      <c r="AC122" s="169" t="str">
        <f t="shared" si="184"/>
        <v/>
      </c>
      <c r="AD122" s="168" t="str">
        <f t="shared" si="185"/>
        <v/>
      </c>
      <c r="AE122" s="169" t="str">
        <f t="shared" si="186"/>
        <v/>
      </c>
      <c r="AF122" s="170" t="str">
        <f t="shared" si="187"/>
        <v/>
      </c>
      <c r="AG122" s="171"/>
      <c r="AH122" s="119" t="s">
        <v>552</v>
      </c>
      <c r="AI122" s="144" t="s">
        <v>524</v>
      </c>
      <c r="AJ122" s="143" t="s">
        <v>196</v>
      </c>
      <c r="AK122" s="143" t="s">
        <v>196</v>
      </c>
      <c r="AL122" s="119" t="s">
        <v>425</v>
      </c>
      <c r="AM122" s="164"/>
    </row>
    <row r="123" spans="1:39" s="163" customFormat="1" ht="151.5" customHeight="1" x14ac:dyDescent="0.35">
      <c r="A123" s="422"/>
      <c r="B123" s="421"/>
      <c r="C123" s="425"/>
      <c r="D123" s="425"/>
      <c r="E123" s="407"/>
      <c r="F123" s="407"/>
      <c r="G123" s="407"/>
      <c r="H123" s="424"/>
      <c r="I123" s="407"/>
      <c r="J123" s="405"/>
      <c r="K123" s="411"/>
      <c r="L123" s="414"/>
      <c r="M123" s="416"/>
      <c r="N123" s="184"/>
      <c r="O123" s="411"/>
      <c r="P123" s="414"/>
      <c r="Q123" s="430"/>
      <c r="R123" s="178">
        <v>3</v>
      </c>
      <c r="S123" s="174"/>
      <c r="T123" s="175" t="str">
        <f t="shared" si="180"/>
        <v/>
      </c>
      <c r="U123" s="179"/>
      <c r="V123" s="179"/>
      <c r="W123" s="180"/>
      <c r="X123" s="179"/>
      <c r="Y123" s="179"/>
      <c r="Z123" s="179"/>
      <c r="AA123" s="154" t="str">
        <f>IFERROR(IF(T123="Probabilidad",(AA122-(+AA122*W123)),IF(T123="Impacto",L123,"")),"")</f>
        <v/>
      </c>
      <c r="AB123" s="168" t="str">
        <f t="shared" si="183"/>
        <v/>
      </c>
      <c r="AC123" s="169" t="str">
        <f t="shared" si="184"/>
        <v/>
      </c>
      <c r="AD123" s="168" t="str">
        <f t="shared" si="185"/>
        <v/>
      </c>
      <c r="AE123" s="169" t="str">
        <f t="shared" si="186"/>
        <v/>
      </c>
      <c r="AF123" s="170" t="str">
        <f t="shared" si="187"/>
        <v/>
      </c>
      <c r="AG123" s="171"/>
      <c r="AH123" s="174"/>
      <c r="AI123" s="164"/>
      <c r="AJ123" s="165"/>
      <c r="AK123" s="165"/>
      <c r="AL123" s="174"/>
      <c r="AM123" s="164"/>
    </row>
    <row r="124" spans="1:39" s="163" customFormat="1" ht="151.5" customHeight="1" x14ac:dyDescent="0.35">
      <c r="A124" s="422">
        <v>41</v>
      </c>
      <c r="B124" s="419" t="s">
        <v>417</v>
      </c>
      <c r="C124" s="427" t="s">
        <v>418</v>
      </c>
      <c r="D124" s="417" t="s">
        <v>419</v>
      </c>
      <c r="E124" s="406" t="s">
        <v>120</v>
      </c>
      <c r="F124" s="426" t="s">
        <v>426</v>
      </c>
      <c r="G124" s="406" t="s">
        <v>494</v>
      </c>
      <c r="H124" s="437" t="s">
        <v>495</v>
      </c>
      <c r="I124" s="406" t="s">
        <v>116</v>
      </c>
      <c r="J124" s="404">
        <v>13</v>
      </c>
      <c r="K124" s="409" t="str">
        <f>IF(J124&lt;=0,"",IF(J124&lt;=2,"Muy Baja",IF(J124&lt;=24,"Baja",IF(J124&lt;=500,"Media",IF(J124&lt;=5000,"Alta","Muy Alta")))))</f>
        <v>Baja</v>
      </c>
      <c r="L124" s="412">
        <f>IF(K124="","",IF(K124="Muy Baja",0.2,IF(K124="Baja",0.4,IF(K124="Media",0.6,IF(K124="Alta",0.8,IF(K124="Muy Alta",1,))))))</f>
        <v>0.4</v>
      </c>
      <c r="M124" s="415" t="s">
        <v>485</v>
      </c>
      <c r="N124" s="177"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409"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412">
        <f>IF(O124="","",IF(O124="Leve",0.2,IF(O124="Menor",0.4,IF(O124="Moderado",0.6,IF(O124="Mayor",0.8,IF(O124="Catastrófico",1,))))))</f>
        <v>0.6</v>
      </c>
      <c r="Q124" s="428"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78">
        <v>1</v>
      </c>
      <c r="S124" s="190" t="s">
        <v>505</v>
      </c>
      <c r="T124" s="175" t="str">
        <f t="shared" si="180"/>
        <v>Probabilidad</v>
      </c>
      <c r="U124" s="179" t="s">
        <v>15</v>
      </c>
      <c r="V124" s="179" t="s">
        <v>9</v>
      </c>
      <c r="W124" s="180" t="str">
        <f t="shared" si="181"/>
        <v>30%</v>
      </c>
      <c r="X124" s="179" t="s">
        <v>20</v>
      </c>
      <c r="Y124" s="179" t="s">
        <v>22</v>
      </c>
      <c r="Z124" s="179" t="s">
        <v>110</v>
      </c>
      <c r="AA124" s="154">
        <f t="shared" si="182"/>
        <v>0.28000000000000003</v>
      </c>
      <c r="AB124" s="168" t="str">
        <f t="shared" si="183"/>
        <v>Baja</v>
      </c>
      <c r="AC124" s="169">
        <f t="shared" si="184"/>
        <v>0.28000000000000003</v>
      </c>
      <c r="AD124" s="168" t="str">
        <f t="shared" si="185"/>
        <v>Moderado</v>
      </c>
      <c r="AE124" s="169">
        <f t="shared" si="186"/>
        <v>0.6</v>
      </c>
      <c r="AF124" s="170" t="str">
        <f t="shared" si="187"/>
        <v>Moderado</v>
      </c>
      <c r="AG124" s="171" t="s">
        <v>122</v>
      </c>
      <c r="AH124" s="174" t="s">
        <v>506</v>
      </c>
      <c r="AI124" s="164" t="s">
        <v>212</v>
      </c>
      <c r="AJ124" s="165" t="s">
        <v>196</v>
      </c>
      <c r="AK124" s="165" t="s">
        <v>196</v>
      </c>
      <c r="AL124" s="174" t="s">
        <v>427</v>
      </c>
      <c r="AM124" s="164"/>
    </row>
    <row r="125" spans="1:39" s="163" customFormat="1" ht="151.5" customHeight="1" x14ac:dyDescent="0.35">
      <c r="A125" s="422"/>
      <c r="B125" s="420"/>
      <c r="C125" s="425"/>
      <c r="D125" s="425"/>
      <c r="E125" s="407"/>
      <c r="F125" s="407"/>
      <c r="G125" s="407"/>
      <c r="H125" s="424"/>
      <c r="I125" s="407"/>
      <c r="J125" s="405"/>
      <c r="K125" s="410"/>
      <c r="L125" s="413"/>
      <c r="M125" s="416"/>
      <c r="N125" s="184"/>
      <c r="O125" s="410"/>
      <c r="P125" s="413"/>
      <c r="Q125" s="429"/>
      <c r="R125" s="178">
        <v>2</v>
      </c>
      <c r="S125" s="174"/>
      <c r="T125" s="175" t="str">
        <f t="shared" si="180"/>
        <v/>
      </c>
      <c r="U125" s="179"/>
      <c r="V125" s="179"/>
      <c r="W125" s="180"/>
      <c r="X125" s="179"/>
      <c r="Y125" s="179"/>
      <c r="Z125" s="179"/>
      <c r="AA125" s="154" t="str">
        <f>IFERROR(IF(T125="Probabilidad",(AA124-(+AA124*W125)),IF(T125="Impacto",L125,"")),"")</f>
        <v/>
      </c>
      <c r="AB125" s="168" t="str">
        <f t="shared" si="183"/>
        <v/>
      </c>
      <c r="AC125" s="169" t="str">
        <f t="shared" si="184"/>
        <v/>
      </c>
      <c r="AD125" s="168" t="str">
        <f t="shared" si="185"/>
        <v/>
      </c>
      <c r="AE125" s="169" t="str">
        <f t="shared" si="186"/>
        <v/>
      </c>
      <c r="AF125" s="170" t="str">
        <f t="shared" si="187"/>
        <v/>
      </c>
      <c r="AG125" s="171"/>
      <c r="AH125" s="174"/>
      <c r="AI125" s="164"/>
      <c r="AJ125" s="165"/>
      <c r="AK125" s="165"/>
      <c r="AL125" s="174"/>
      <c r="AM125" s="164"/>
    </row>
    <row r="126" spans="1:39" s="163" customFormat="1" ht="151.5" customHeight="1" x14ac:dyDescent="0.35">
      <c r="A126" s="422"/>
      <c r="B126" s="421"/>
      <c r="C126" s="425"/>
      <c r="D126" s="425"/>
      <c r="E126" s="407"/>
      <c r="F126" s="407"/>
      <c r="G126" s="407"/>
      <c r="H126" s="424"/>
      <c r="I126" s="407"/>
      <c r="J126" s="405"/>
      <c r="K126" s="411"/>
      <c r="L126" s="414"/>
      <c r="M126" s="416"/>
      <c r="N126" s="184"/>
      <c r="O126" s="411"/>
      <c r="P126" s="414"/>
      <c r="Q126" s="430"/>
      <c r="R126" s="178">
        <v>3</v>
      </c>
      <c r="S126" s="174"/>
      <c r="T126" s="175" t="str">
        <f t="shared" si="180"/>
        <v/>
      </c>
      <c r="U126" s="179"/>
      <c r="V126" s="179"/>
      <c r="W126" s="180"/>
      <c r="X126" s="179"/>
      <c r="Y126" s="179"/>
      <c r="Z126" s="179"/>
      <c r="AA126" s="154" t="str">
        <f>IFERROR(IF(T126="Probabilidad",(AA125-(+AA125*W126)),IF(T126="Impacto",L126,"")),"")</f>
        <v/>
      </c>
      <c r="AB126" s="168" t="str">
        <f t="shared" si="183"/>
        <v/>
      </c>
      <c r="AC126" s="169" t="str">
        <f t="shared" si="184"/>
        <v/>
      </c>
      <c r="AD126" s="168" t="str">
        <f t="shared" si="185"/>
        <v/>
      </c>
      <c r="AE126" s="169" t="str">
        <f t="shared" si="186"/>
        <v/>
      </c>
      <c r="AF126" s="170" t="str">
        <f t="shared" si="187"/>
        <v/>
      </c>
      <c r="AG126" s="171"/>
      <c r="AH126" s="174"/>
      <c r="AI126" s="164"/>
      <c r="AJ126" s="165"/>
      <c r="AK126" s="165"/>
      <c r="AL126" s="174"/>
      <c r="AM126" s="164"/>
    </row>
    <row r="127" spans="1:39" s="163" customFormat="1" ht="151.5" customHeight="1" x14ac:dyDescent="0.35">
      <c r="A127" s="422">
        <v>42</v>
      </c>
      <c r="B127" s="419" t="s">
        <v>318</v>
      </c>
      <c r="C127" s="417" t="s">
        <v>319</v>
      </c>
      <c r="D127" s="417" t="s">
        <v>320</v>
      </c>
      <c r="E127" s="406" t="s">
        <v>120</v>
      </c>
      <c r="F127" s="426" t="s">
        <v>473</v>
      </c>
      <c r="G127" s="406" t="s">
        <v>428</v>
      </c>
      <c r="H127" s="423" t="s">
        <v>429</v>
      </c>
      <c r="I127" s="406" t="s">
        <v>115</v>
      </c>
      <c r="J127" s="404">
        <v>53</v>
      </c>
      <c r="K127" s="409" t="str">
        <f>IF(J127&lt;=0,"",IF(J127&lt;=2,"Muy Baja",IF(J127&lt;=24,"Baja",IF(J127&lt;=500,"Media",IF(J127&lt;=5000,"Alta","Muy Alta")))))</f>
        <v>Media</v>
      </c>
      <c r="L127" s="412">
        <f>IF(K127="","",IF(K127="Muy Baja",0.2,IF(K127="Baja",0.4,IF(K127="Media",0.6,IF(K127="Alta",0.8,IF(K127="Muy Alta",1,))))))</f>
        <v>0.6</v>
      </c>
      <c r="M127" s="415" t="s">
        <v>492</v>
      </c>
      <c r="N127" s="177" t="str">
        <f>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409" t="str">
        <f>IF(OR(N127='Tabla Impacto'!$C$11,N127='Tabla Impacto'!$D$11),"Leve",IF(OR(N127='Tabla Impacto'!$C$12,N127='Tabla Impacto'!$D$12),"Menor",IF(OR(N127='Tabla Impacto'!$C$13,N127='Tabla Impacto'!$D$13),"Moderado",IF(OR(N127='Tabla Impacto'!$C$14,N127='Tabla Impacto'!$D$14),"Mayor",IF(OR(N127='Tabla Impacto'!$C$15,N127='Tabla Impacto'!$D$15),"Catastrófico","")))))</f>
        <v>Mayor</v>
      </c>
      <c r="P127" s="412">
        <f>IF(O127="","",IF(O127="Leve",0.2,IF(O127="Menor",0.4,IF(O127="Moderado",0.6,IF(O127="Mayor",0.8,IF(O127="Catastrófico",1,))))))</f>
        <v>0.8</v>
      </c>
      <c r="Q127" s="428"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78">
        <v>1</v>
      </c>
      <c r="S127" s="174" t="s">
        <v>474</v>
      </c>
      <c r="T127" s="175" t="str">
        <f t="shared" si="180"/>
        <v>Probabilidad</v>
      </c>
      <c r="U127" s="179" t="s">
        <v>15</v>
      </c>
      <c r="V127" s="179" t="s">
        <v>9</v>
      </c>
      <c r="W127" s="180" t="str">
        <f t="shared" si="181"/>
        <v>30%</v>
      </c>
      <c r="X127" s="179" t="s">
        <v>19</v>
      </c>
      <c r="Y127" s="179" t="s">
        <v>22</v>
      </c>
      <c r="Z127" s="179" t="s">
        <v>110</v>
      </c>
      <c r="AA127" s="154">
        <f t="shared" si="182"/>
        <v>0.42</v>
      </c>
      <c r="AB127" s="168" t="str">
        <f t="shared" si="183"/>
        <v>Media</v>
      </c>
      <c r="AC127" s="169">
        <f t="shared" si="184"/>
        <v>0.42</v>
      </c>
      <c r="AD127" s="168" t="str">
        <f t="shared" si="185"/>
        <v>Mayor</v>
      </c>
      <c r="AE127" s="169">
        <f t="shared" si="186"/>
        <v>0.8</v>
      </c>
      <c r="AF127" s="170" t="str">
        <f t="shared" si="187"/>
        <v>Alto</v>
      </c>
      <c r="AG127" s="171" t="s">
        <v>122</v>
      </c>
      <c r="AH127" s="174" t="s">
        <v>476</v>
      </c>
      <c r="AI127" s="166" t="s">
        <v>260</v>
      </c>
      <c r="AJ127" s="165">
        <v>44562</v>
      </c>
      <c r="AK127" s="165" t="s">
        <v>373</v>
      </c>
      <c r="AL127" s="174" t="s">
        <v>475</v>
      </c>
      <c r="AM127" s="164"/>
    </row>
    <row r="128" spans="1:39" s="163" customFormat="1" ht="151.5" customHeight="1" x14ac:dyDescent="0.35">
      <c r="A128" s="422"/>
      <c r="B128" s="420"/>
      <c r="C128" s="418"/>
      <c r="D128" s="418"/>
      <c r="E128" s="407"/>
      <c r="F128" s="407"/>
      <c r="G128" s="407"/>
      <c r="H128" s="424"/>
      <c r="I128" s="407"/>
      <c r="J128" s="405"/>
      <c r="K128" s="410"/>
      <c r="L128" s="413"/>
      <c r="M128" s="416"/>
      <c r="N128" s="184"/>
      <c r="O128" s="410"/>
      <c r="P128" s="413"/>
      <c r="Q128" s="429"/>
      <c r="R128" s="178">
        <v>2</v>
      </c>
      <c r="S128" s="174" t="s">
        <v>507</v>
      </c>
      <c r="T128" s="175" t="str">
        <f t="shared" si="180"/>
        <v>Probabilidad</v>
      </c>
      <c r="U128" s="179" t="s">
        <v>14</v>
      </c>
      <c r="V128" s="179" t="s">
        <v>9</v>
      </c>
      <c r="W128" s="180" t="str">
        <f t="shared" si="181"/>
        <v>40%</v>
      </c>
      <c r="X128" s="179" t="s">
        <v>19</v>
      </c>
      <c r="Y128" s="179" t="s">
        <v>22</v>
      </c>
      <c r="Z128" s="179" t="s">
        <v>110</v>
      </c>
      <c r="AA128" s="154">
        <f>IFERROR(IF(T128="Probabilidad",(AA127-(+AA127*W128)),IF(T128="Impacto",L128,"")),"")</f>
        <v>0.252</v>
      </c>
      <c r="AB128" s="168" t="str">
        <f t="shared" si="183"/>
        <v>Baja</v>
      </c>
      <c r="AC128" s="169">
        <f t="shared" si="184"/>
        <v>0.252</v>
      </c>
      <c r="AD128" s="168" t="str">
        <f t="shared" si="185"/>
        <v>Mayor</v>
      </c>
      <c r="AE128" s="169">
        <v>0.8</v>
      </c>
      <c r="AF128" s="170" t="str">
        <f t="shared" si="187"/>
        <v>Alto</v>
      </c>
      <c r="AG128" s="171" t="s">
        <v>122</v>
      </c>
      <c r="AH128" s="174" t="s">
        <v>508</v>
      </c>
      <c r="AI128" s="164" t="s">
        <v>203</v>
      </c>
      <c r="AJ128" s="165">
        <v>44562</v>
      </c>
      <c r="AK128" s="165" t="s">
        <v>373</v>
      </c>
      <c r="AL128" s="174" t="s">
        <v>475</v>
      </c>
      <c r="AM128" s="164"/>
    </row>
    <row r="129" spans="1:39" s="163" customFormat="1" ht="151.5" customHeight="1" x14ac:dyDescent="0.35">
      <c r="A129" s="422"/>
      <c r="B129" s="421"/>
      <c r="C129" s="418"/>
      <c r="D129" s="418"/>
      <c r="E129" s="407"/>
      <c r="F129" s="407"/>
      <c r="G129" s="407"/>
      <c r="H129" s="424"/>
      <c r="I129" s="407"/>
      <c r="J129" s="405"/>
      <c r="K129" s="411"/>
      <c r="L129" s="414"/>
      <c r="M129" s="416"/>
      <c r="N129" s="184"/>
      <c r="O129" s="411"/>
      <c r="P129" s="414"/>
      <c r="Q129" s="430"/>
      <c r="R129" s="178">
        <v>3</v>
      </c>
      <c r="S129" s="174" t="s">
        <v>323</v>
      </c>
      <c r="T129" s="175" t="str">
        <f t="shared" si="180"/>
        <v>Probabilidad</v>
      </c>
      <c r="U129" s="179" t="s">
        <v>14</v>
      </c>
      <c r="V129" s="179" t="s">
        <v>9</v>
      </c>
      <c r="W129" s="180" t="str">
        <f t="shared" si="181"/>
        <v>40%</v>
      </c>
      <c r="X129" s="179" t="s">
        <v>19</v>
      </c>
      <c r="Y129" s="179" t="s">
        <v>22</v>
      </c>
      <c r="Z129" s="179" t="s">
        <v>110</v>
      </c>
      <c r="AA129" s="154">
        <f>IFERROR(IF(T129="Probabilidad",(AA128-(+AA128*W129)),IF(T129="Impacto",L129,"")),"")</f>
        <v>0.1512</v>
      </c>
      <c r="AB129" s="168" t="str">
        <f t="shared" si="183"/>
        <v>Muy Baja</v>
      </c>
      <c r="AC129" s="169">
        <f t="shared" si="184"/>
        <v>0.1512</v>
      </c>
      <c r="AD129" s="168" t="str">
        <f t="shared" si="185"/>
        <v>Mayor</v>
      </c>
      <c r="AE129" s="169">
        <v>0.8</v>
      </c>
      <c r="AF129" s="170" t="str">
        <f t="shared" si="187"/>
        <v>Alto</v>
      </c>
      <c r="AG129" s="171" t="s">
        <v>122</v>
      </c>
      <c r="AH129" s="174" t="s">
        <v>508</v>
      </c>
      <c r="AI129" s="164" t="s">
        <v>203</v>
      </c>
      <c r="AJ129" s="165">
        <v>44562</v>
      </c>
      <c r="AK129" s="165" t="s">
        <v>373</v>
      </c>
      <c r="AL129" s="174" t="s">
        <v>475</v>
      </c>
      <c r="AM129" s="164"/>
    </row>
    <row r="130" spans="1:39" s="163" customFormat="1" ht="151.5" customHeight="1" x14ac:dyDescent="0.35">
      <c r="A130" s="422">
        <v>43</v>
      </c>
      <c r="B130" s="419" t="s">
        <v>318</v>
      </c>
      <c r="C130" s="417" t="s">
        <v>319</v>
      </c>
      <c r="D130" s="417" t="s">
        <v>320</v>
      </c>
      <c r="E130" s="406" t="s">
        <v>120</v>
      </c>
      <c r="F130" s="426" t="s">
        <v>324</v>
      </c>
      <c r="G130" s="426" t="s">
        <v>431</v>
      </c>
      <c r="H130" s="423" t="s">
        <v>348</v>
      </c>
      <c r="I130" s="406" t="s">
        <v>328</v>
      </c>
      <c r="J130" s="404">
        <v>56</v>
      </c>
      <c r="K130" s="409" t="str">
        <f>IF(J130&lt;=0,"",IF(J130&lt;=2,"Muy Baja",IF(J130&lt;=24,"Baja",IF(J130&lt;=500,"Media",IF(J130&lt;=5000,"Alta","Muy Alta")))))</f>
        <v>Media</v>
      </c>
      <c r="L130" s="412">
        <f>IF(K130="","",IF(K130="Muy Baja",0.2,IF(K130="Baja",0.4,IF(K130="Media",0.6,IF(K130="Alta",0.8,IF(K130="Muy Alta",1,))))))</f>
        <v>0.6</v>
      </c>
      <c r="M130" s="415" t="s">
        <v>485</v>
      </c>
      <c r="N130" s="177" t="str">
        <f>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409" t="str">
        <f>IF(OR(N130='Tabla Impacto'!$C$11,N130='Tabla Impacto'!$D$11),"Leve",IF(OR(N130='Tabla Impacto'!$C$12,N130='Tabla Impacto'!$D$12),"Menor",IF(OR(N130='Tabla Impacto'!$C$13,N130='Tabla Impacto'!$D$13),"Moderado",IF(OR(N130='Tabla Impacto'!$C$14,N130='Tabla Impacto'!$D$14),"Mayor",IF(OR(N130='Tabla Impacto'!$C$15,N130='Tabla Impacto'!$D$15),"Catastrófico","")))))</f>
        <v>Moderado</v>
      </c>
      <c r="P130" s="412">
        <f>IF(O130="","",IF(O130="Leve",0.2,IF(O130="Menor",0.4,IF(O130="Moderado",0.6,IF(O130="Mayor",0.8,IF(O130="Catastrófico",1,))))))</f>
        <v>0.6</v>
      </c>
      <c r="Q130" s="428"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78">
        <v>1</v>
      </c>
      <c r="S130" s="174" t="s">
        <v>321</v>
      </c>
      <c r="T130" s="175" t="str">
        <f t="shared" si="180"/>
        <v>Probabilidad</v>
      </c>
      <c r="U130" s="179" t="s">
        <v>15</v>
      </c>
      <c r="V130" s="179" t="s">
        <v>9</v>
      </c>
      <c r="W130" s="180" t="str">
        <f t="shared" si="181"/>
        <v>30%</v>
      </c>
      <c r="X130" s="179" t="s">
        <v>20</v>
      </c>
      <c r="Y130" s="179" t="s">
        <v>23</v>
      </c>
      <c r="Z130" s="179" t="s">
        <v>111</v>
      </c>
      <c r="AA130" s="154">
        <f t="shared" si="182"/>
        <v>0.42</v>
      </c>
      <c r="AB130" s="168" t="str">
        <f t="shared" si="183"/>
        <v>Media</v>
      </c>
      <c r="AC130" s="169">
        <f t="shared" si="184"/>
        <v>0.42</v>
      </c>
      <c r="AD130" s="168" t="str">
        <f t="shared" si="185"/>
        <v>Moderado</v>
      </c>
      <c r="AE130" s="169">
        <f t="shared" si="186"/>
        <v>0.6</v>
      </c>
      <c r="AF130" s="170" t="str">
        <f t="shared" si="187"/>
        <v>Moderado</v>
      </c>
      <c r="AG130" s="171" t="s">
        <v>122</v>
      </c>
      <c r="AH130" s="174" t="s">
        <v>325</v>
      </c>
      <c r="AI130" s="166" t="s">
        <v>212</v>
      </c>
      <c r="AJ130" s="165">
        <v>44562</v>
      </c>
      <c r="AK130" s="165" t="s">
        <v>373</v>
      </c>
      <c r="AL130" s="174" t="s">
        <v>477</v>
      </c>
      <c r="AM130" s="164"/>
    </row>
    <row r="131" spans="1:39" s="163" customFormat="1" ht="151.5" customHeight="1" x14ac:dyDescent="0.35">
      <c r="A131" s="422"/>
      <c r="B131" s="420"/>
      <c r="C131" s="418"/>
      <c r="D131" s="418"/>
      <c r="E131" s="407"/>
      <c r="F131" s="407"/>
      <c r="G131" s="407"/>
      <c r="H131" s="424"/>
      <c r="I131" s="407"/>
      <c r="J131" s="405"/>
      <c r="K131" s="410"/>
      <c r="L131" s="413"/>
      <c r="M131" s="416"/>
      <c r="N131" s="184"/>
      <c r="O131" s="410"/>
      <c r="P131" s="413"/>
      <c r="Q131" s="429"/>
      <c r="R131" s="178">
        <v>2</v>
      </c>
      <c r="S131" s="174" t="s">
        <v>322</v>
      </c>
      <c r="T131" s="175" t="str">
        <f t="shared" si="180"/>
        <v>Probabilidad</v>
      </c>
      <c r="U131" s="179" t="s">
        <v>15</v>
      </c>
      <c r="V131" s="179" t="s">
        <v>9</v>
      </c>
      <c r="W131" s="180" t="str">
        <f t="shared" si="181"/>
        <v>30%</v>
      </c>
      <c r="X131" s="179" t="s">
        <v>20</v>
      </c>
      <c r="Y131" s="179" t="s">
        <v>23</v>
      </c>
      <c r="Z131" s="179" t="s">
        <v>111</v>
      </c>
      <c r="AA131" s="154">
        <f>IFERROR(IF(T131="Probabilidad",(AA130-(+AA130*W131)),IF(T131="Impacto",L131,"")),"")</f>
        <v>0.29399999999999998</v>
      </c>
      <c r="AB131" s="168" t="str">
        <f t="shared" si="183"/>
        <v>Baja</v>
      </c>
      <c r="AC131" s="169">
        <f t="shared" si="184"/>
        <v>0.29399999999999998</v>
      </c>
      <c r="AD131" s="168" t="str">
        <f t="shared" si="185"/>
        <v>Moderado</v>
      </c>
      <c r="AE131" s="169">
        <v>0.6</v>
      </c>
      <c r="AF131" s="170" t="str">
        <f t="shared" si="187"/>
        <v>Moderado</v>
      </c>
      <c r="AG131" s="171" t="s">
        <v>122</v>
      </c>
      <c r="AH131" s="174" t="s">
        <v>508</v>
      </c>
      <c r="AI131" s="164" t="s">
        <v>203</v>
      </c>
      <c r="AJ131" s="165">
        <v>44562</v>
      </c>
      <c r="AK131" s="165" t="s">
        <v>373</v>
      </c>
      <c r="AL131" s="174" t="s">
        <v>477</v>
      </c>
      <c r="AM131" s="164"/>
    </row>
    <row r="132" spans="1:39" s="163" customFormat="1" ht="151.5" customHeight="1" x14ac:dyDescent="0.35">
      <c r="A132" s="422"/>
      <c r="B132" s="421"/>
      <c r="C132" s="418"/>
      <c r="D132" s="418"/>
      <c r="E132" s="407"/>
      <c r="F132" s="407"/>
      <c r="G132" s="407"/>
      <c r="H132" s="424"/>
      <c r="I132" s="407"/>
      <c r="J132" s="405"/>
      <c r="K132" s="411"/>
      <c r="L132" s="414"/>
      <c r="M132" s="416"/>
      <c r="N132" s="184"/>
      <c r="O132" s="411"/>
      <c r="P132" s="414"/>
      <c r="Q132" s="430"/>
      <c r="R132" s="178">
        <v>3</v>
      </c>
      <c r="S132" s="174" t="s">
        <v>323</v>
      </c>
      <c r="T132" s="175" t="str">
        <f t="shared" si="180"/>
        <v>Probabilidad</v>
      </c>
      <c r="U132" s="179" t="s">
        <v>15</v>
      </c>
      <c r="V132" s="179" t="s">
        <v>9</v>
      </c>
      <c r="W132" s="180" t="str">
        <f t="shared" si="181"/>
        <v>30%</v>
      </c>
      <c r="X132" s="179" t="s">
        <v>20</v>
      </c>
      <c r="Y132" s="179" t="s">
        <v>23</v>
      </c>
      <c r="Z132" s="179" t="s">
        <v>111</v>
      </c>
      <c r="AA132" s="154">
        <f>IFERROR(IF(T132="Probabilidad",(AA131-(+AA131*W132)),IF(T132="Impacto",L132,"")),"")</f>
        <v>0.20579999999999998</v>
      </c>
      <c r="AB132" s="168" t="str">
        <f t="shared" si="183"/>
        <v>Baja</v>
      </c>
      <c r="AC132" s="169">
        <f t="shared" si="184"/>
        <v>0.20579999999999998</v>
      </c>
      <c r="AD132" s="168" t="str">
        <f t="shared" si="185"/>
        <v>Moderado</v>
      </c>
      <c r="AE132" s="169">
        <v>0.6</v>
      </c>
      <c r="AF132" s="170" t="str">
        <f t="shared" si="187"/>
        <v>Moderado</v>
      </c>
      <c r="AG132" s="171" t="s">
        <v>122</v>
      </c>
      <c r="AH132" s="174" t="s">
        <v>478</v>
      </c>
      <c r="AI132" s="164" t="s">
        <v>212</v>
      </c>
      <c r="AJ132" s="165">
        <v>44562</v>
      </c>
      <c r="AK132" s="165" t="s">
        <v>373</v>
      </c>
      <c r="AL132" s="174" t="s">
        <v>477</v>
      </c>
      <c r="AM132" s="164"/>
    </row>
    <row r="133" spans="1:39" s="163" customFormat="1" ht="151.5" customHeight="1" x14ac:dyDescent="0.35">
      <c r="A133" s="422">
        <v>44</v>
      </c>
      <c r="B133" s="401" t="s">
        <v>318</v>
      </c>
      <c r="C133" s="417" t="s">
        <v>319</v>
      </c>
      <c r="D133" s="417" t="s">
        <v>320</v>
      </c>
      <c r="E133" s="406" t="s">
        <v>120</v>
      </c>
      <c r="F133" s="406" t="s">
        <v>430</v>
      </c>
      <c r="G133" s="406" t="s">
        <v>432</v>
      </c>
      <c r="H133" s="423" t="s">
        <v>548</v>
      </c>
      <c r="I133" s="406" t="s">
        <v>115</v>
      </c>
      <c r="J133" s="404">
        <v>56</v>
      </c>
      <c r="K133" s="409" t="str">
        <f>IF(J133&lt;=0,"",IF(J133&lt;=2,"Muy Baja",IF(J133&lt;=24,"Baja",IF(J133&lt;=500,"Media",IF(J133&lt;=5000,"Alta","Muy Alta")))))</f>
        <v>Media</v>
      </c>
      <c r="L133" s="412">
        <f>IF(K133="","",IF(K133="Muy Baja",0.2,IF(K133="Baja",0.4,IF(K133="Media",0.6,IF(K133="Alta",0.8,IF(K133="Muy Alta",1,))))))</f>
        <v>0.6</v>
      </c>
      <c r="M133" s="415" t="s">
        <v>492</v>
      </c>
      <c r="N133" s="177" t="str">
        <f>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438" t="str">
        <f>IF(OR(N133='Tabla Impacto'!$C$11,N133='Tabla Impacto'!$D$11),"Leve",IF(OR(N133='Tabla Impacto'!$C$12,N133='Tabla Impacto'!$D$12),"Menor",IF(OR(N133='Tabla Impacto'!$C$13,N133='Tabla Impacto'!$D$13),"Moderado",IF(OR(N133='Tabla Impacto'!$C$14,N133='Tabla Impacto'!$D$14),"Mayor",IF(OR(N133='Tabla Impacto'!$C$15,N133='Tabla Impacto'!$D$15),"Catastrófico","")))))</f>
        <v>Mayor</v>
      </c>
      <c r="P133" s="412">
        <f>IF(O133="","",IF(O133="Leve",0.2,IF(O133="Menor",0.4,IF(O133="Moderado",0.6,IF(O133="Mayor",0.8,IF(O133="Catastrófico",1,))))))</f>
        <v>0.8</v>
      </c>
      <c r="Q133" s="428"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78">
        <v>1</v>
      </c>
      <c r="S133" s="174" t="s">
        <v>549</v>
      </c>
      <c r="T133" s="175" t="str">
        <f t="shared" si="180"/>
        <v>Probabilidad</v>
      </c>
      <c r="U133" s="179" t="s">
        <v>15</v>
      </c>
      <c r="V133" s="179" t="s">
        <v>9</v>
      </c>
      <c r="W133" s="180" t="str">
        <f t="shared" si="181"/>
        <v>30%</v>
      </c>
      <c r="X133" s="179" t="s">
        <v>20</v>
      </c>
      <c r="Y133" s="179" t="s">
        <v>23</v>
      </c>
      <c r="Z133" s="179" t="s">
        <v>111</v>
      </c>
      <c r="AA133" s="154">
        <f t="shared" si="182"/>
        <v>0.42</v>
      </c>
      <c r="AB133" s="168" t="str">
        <f t="shared" si="183"/>
        <v>Media</v>
      </c>
      <c r="AC133" s="169">
        <f t="shared" si="184"/>
        <v>0.42</v>
      </c>
      <c r="AD133" s="168" t="str">
        <f t="shared" si="185"/>
        <v>Mayor</v>
      </c>
      <c r="AE133" s="169">
        <f t="shared" si="186"/>
        <v>0.8</v>
      </c>
      <c r="AF133" s="170" t="str">
        <f t="shared" si="187"/>
        <v>Alto</v>
      </c>
      <c r="AG133" s="171" t="s">
        <v>122</v>
      </c>
      <c r="AH133" s="191" t="s">
        <v>479</v>
      </c>
      <c r="AI133" s="164" t="s">
        <v>198</v>
      </c>
      <c r="AJ133" s="165">
        <v>44562</v>
      </c>
      <c r="AK133" s="165" t="s">
        <v>373</v>
      </c>
      <c r="AL133" s="191" t="s">
        <v>480</v>
      </c>
      <c r="AM133" s="164"/>
    </row>
    <row r="134" spans="1:39" s="163" customFormat="1" ht="151.5" customHeight="1" x14ac:dyDescent="0.35">
      <c r="A134" s="422"/>
      <c r="B134" s="402"/>
      <c r="C134" s="418"/>
      <c r="D134" s="418"/>
      <c r="E134" s="407"/>
      <c r="F134" s="407"/>
      <c r="G134" s="407"/>
      <c r="H134" s="424"/>
      <c r="I134" s="407"/>
      <c r="J134" s="405"/>
      <c r="K134" s="410"/>
      <c r="L134" s="413"/>
      <c r="M134" s="416"/>
      <c r="N134" s="184"/>
      <c r="O134" s="410"/>
      <c r="P134" s="413"/>
      <c r="Q134" s="429"/>
      <c r="R134" s="178">
        <v>2</v>
      </c>
      <c r="S134" s="174"/>
      <c r="T134" s="158"/>
      <c r="U134" s="146"/>
      <c r="V134" s="146"/>
      <c r="W134" s="147"/>
      <c r="X134" s="146"/>
      <c r="Y134" s="146"/>
      <c r="Z134" s="146"/>
      <c r="AA134" s="148"/>
      <c r="AB134" s="135"/>
      <c r="AC134" s="149"/>
      <c r="AD134" s="135"/>
      <c r="AE134" s="149"/>
      <c r="AF134" s="150"/>
      <c r="AG134" s="151"/>
      <c r="AH134" s="174" t="s">
        <v>326</v>
      </c>
      <c r="AI134" s="164" t="s">
        <v>203</v>
      </c>
      <c r="AJ134" s="165">
        <v>44562</v>
      </c>
      <c r="AK134" s="165" t="s">
        <v>373</v>
      </c>
      <c r="AL134" s="191" t="s">
        <v>480</v>
      </c>
      <c r="AM134" s="164"/>
    </row>
    <row r="135" spans="1:39" s="163" customFormat="1" ht="151.5" customHeight="1" x14ac:dyDescent="0.35">
      <c r="A135" s="422"/>
      <c r="B135" s="403"/>
      <c r="C135" s="418"/>
      <c r="D135" s="418"/>
      <c r="E135" s="407"/>
      <c r="F135" s="407"/>
      <c r="G135" s="407"/>
      <c r="H135" s="424"/>
      <c r="I135" s="407"/>
      <c r="J135" s="405"/>
      <c r="K135" s="411"/>
      <c r="L135" s="414"/>
      <c r="M135" s="416"/>
      <c r="N135" s="184"/>
      <c r="O135" s="411"/>
      <c r="P135" s="414"/>
      <c r="Q135" s="430"/>
      <c r="R135" s="178">
        <v>3</v>
      </c>
      <c r="S135" s="174"/>
      <c r="T135" s="158"/>
      <c r="U135" s="146"/>
      <c r="V135" s="146"/>
      <c r="W135" s="147"/>
      <c r="X135" s="146"/>
      <c r="Y135" s="146"/>
      <c r="Z135" s="146"/>
      <c r="AA135" s="148"/>
      <c r="AB135" s="135"/>
      <c r="AC135" s="149"/>
      <c r="AD135" s="135"/>
      <c r="AE135" s="149"/>
      <c r="AF135" s="150"/>
      <c r="AG135" s="151"/>
      <c r="AH135" s="191" t="s">
        <v>509</v>
      </c>
      <c r="AI135" s="164" t="s">
        <v>203</v>
      </c>
      <c r="AJ135" s="165">
        <v>44562</v>
      </c>
      <c r="AK135" s="165" t="s">
        <v>373</v>
      </c>
      <c r="AL135" s="191" t="s">
        <v>480</v>
      </c>
      <c r="AM135" s="164"/>
    </row>
    <row r="136" spans="1:39" s="163" customFormat="1" ht="151.5" customHeight="1" x14ac:dyDescent="0.35">
      <c r="A136" s="422">
        <v>45</v>
      </c>
      <c r="B136" s="419" t="s">
        <v>565</v>
      </c>
      <c r="C136" s="419" t="s">
        <v>564</v>
      </c>
      <c r="D136" s="419" t="s">
        <v>566</v>
      </c>
      <c r="E136" s="406" t="s">
        <v>118</v>
      </c>
      <c r="F136" s="406" t="s">
        <v>570</v>
      </c>
      <c r="G136" s="406" t="s">
        <v>569</v>
      </c>
      <c r="H136" s="423" t="s">
        <v>561</v>
      </c>
      <c r="I136" s="406" t="s">
        <v>115</v>
      </c>
      <c r="J136" s="404">
        <v>10</v>
      </c>
      <c r="K136" s="409" t="str">
        <f>IF(J136&lt;=0,"",IF(J136&lt;=2,"Muy Baja",IF(J136&lt;=24,"Baja",IF(J136&lt;=500,"Media",IF(J136&lt;=5000,"Alta","Muy Alta")))))</f>
        <v>Baja</v>
      </c>
      <c r="L136" s="412">
        <f>IF(K136="","",IF(K136="Muy Baja",0.2,IF(K136="Baja",0.4,IF(K136="Media",0.6,IF(K136="Alta",0.8,IF(K136="Muy Alta",1,))))))</f>
        <v>0.4</v>
      </c>
      <c r="M136" s="415" t="s">
        <v>492</v>
      </c>
      <c r="N136" s="177" t="str">
        <f>IF(NOT(ISERROR(MATCH(M136,'Tabla Impacto'!$B$221:$B$223,0))),'Tabla Impacto'!$F$223&amp;"Por favor no seleccionar los criterios de impacto(Afectación Económica o presupuestal y Pérdida Reputacional)",M136)</f>
        <v xml:space="preserve"> El riesgo afecta la imagen de la entidad con efecto publicitario sostenido a nivel de sector administrativo, nivel departamental o municipal</v>
      </c>
      <c r="O136" s="409" t="str">
        <f>IF(OR(N136='Tabla Impacto'!$C$11,N136='Tabla Impacto'!$D$11),"Leve",IF(OR(N136='Tabla Impacto'!$C$12,N136='Tabla Impacto'!$D$12),"Menor",IF(OR(N136='Tabla Impacto'!$C$13,N136='Tabla Impacto'!$D$13),"Moderado",IF(OR(N136='Tabla Impacto'!$C$14,N136='Tabla Impacto'!$D$14),"Mayor",IF(OR(N136='Tabla Impacto'!$C$15,N136='Tabla Impacto'!$D$15),"Catastrófico","")))))</f>
        <v>Mayor</v>
      </c>
      <c r="P136" s="412">
        <f>IF(O136="","",IF(O136="Leve",0.2,IF(O136="Menor",0.4,IF(O136="Moderado",0.6,IF(O136="Mayor",0.8,IF(O136="Catastrófico",1,))))))</f>
        <v>0.8</v>
      </c>
      <c r="Q136" s="428"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Alto</v>
      </c>
      <c r="R136" s="178">
        <v>1</v>
      </c>
      <c r="S136" s="174" t="s">
        <v>586</v>
      </c>
      <c r="T136" s="237" t="str">
        <f t="shared" si="180"/>
        <v>Probabilidad</v>
      </c>
      <c r="U136" s="179" t="s">
        <v>14</v>
      </c>
      <c r="V136" s="179" t="s">
        <v>9</v>
      </c>
      <c r="W136" s="180" t="str">
        <f t="shared" si="181"/>
        <v>40%</v>
      </c>
      <c r="X136" s="179" t="s">
        <v>19</v>
      </c>
      <c r="Y136" s="179" t="s">
        <v>22</v>
      </c>
      <c r="Z136" s="179" t="s">
        <v>110</v>
      </c>
      <c r="AA136" s="154">
        <f t="shared" si="182"/>
        <v>0.24</v>
      </c>
      <c r="AB136" s="168" t="str">
        <f t="shared" si="183"/>
        <v>Baja</v>
      </c>
      <c r="AC136" s="169">
        <f t="shared" si="184"/>
        <v>0.24</v>
      </c>
      <c r="AD136" s="168" t="str">
        <f t="shared" si="185"/>
        <v>Mayor</v>
      </c>
      <c r="AE136" s="169">
        <f t="shared" si="186"/>
        <v>0.8</v>
      </c>
      <c r="AF136" s="170" t="str">
        <f t="shared" si="187"/>
        <v>Alto</v>
      </c>
      <c r="AG136" s="171" t="s">
        <v>122</v>
      </c>
      <c r="AH136" s="166" t="s">
        <v>587</v>
      </c>
      <c r="AI136" s="164" t="s">
        <v>260</v>
      </c>
      <c r="AJ136" s="165" t="s">
        <v>286</v>
      </c>
      <c r="AK136" s="165" t="s">
        <v>287</v>
      </c>
      <c r="AL136" s="166" t="s">
        <v>571</v>
      </c>
      <c r="AM136" s="164"/>
    </row>
    <row r="137" spans="1:39" s="163" customFormat="1" ht="151.5" customHeight="1" x14ac:dyDescent="0.35">
      <c r="A137" s="422"/>
      <c r="B137" s="420"/>
      <c r="C137" s="420"/>
      <c r="D137" s="420"/>
      <c r="E137" s="407"/>
      <c r="F137" s="407"/>
      <c r="G137" s="407"/>
      <c r="H137" s="424"/>
      <c r="I137" s="407"/>
      <c r="J137" s="405"/>
      <c r="K137" s="410"/>
      <c r="L137" s="413"/>
      <c r="M137" s="416"/>
      <c r="N137" s="184"/>
      <c r="O137" s="410"/>
      <c r="P137" s="413"/>
      <c r="Q137" s="429"/>
      <c r="R137" s="178">
        <v>2</v>
      </c>
      <c r="S137" s="174"/>
      <c r="T137" s="175" t="str">
        <f t="shared" si="180"/>
        <v/>
      </c>
      <c r="U137" s="179"/>
      <c r="V137" s="179"/>
      <c r="W137" s="180" t="str">
        <f t="shared" si="181"/>
        <v/>
      </c>
      <c r="X137" s="179"/>
      <c r="Y137" s="179"/>
      <c r="Z137" s="179"/>
      <c r="AA137" s="154" t="str">
        <f t="shared" si="182"/>
        <v/>
      </c>
      <c r="AB137" s="168" t="str">
        <f t="shared" si="183"/>
        <v/>
      </c>
      <c r="AC137" s="169" t="str">
        <f t="shared" si="184"/>
        <v/>
      </c>
      <c r="AD137" s="168" t="str">
        <f t="shared" si="185"/>
        <v/>
      </c>
      <c r="AE137" s="169" t="str">
        <f t="shared" si="186"/>
        <v/>
      </c>
      <c r="AF137" s="170" t="str">
        <f t="shared" si="187"/>
        <v/>
      </c>
      <c r="AG137" s="171"/>
      <c r="AH137" s="166"/>
      <c r="AI137" s="164"/>
      <c r="AJ137" s="165"/>
      <c r="AK137" s="165"/>
      <c r="AL137" s="166"/>
      <c r="AM137" s="164"/>
    </row>
    <row r="138" spans="1:39" s="163" customFormat="1" ht="151.5" customHeight="1" x14ac:dyDescent="0.35">
      <c r="A138" s="422"/>
      <c r="B138" s="421"/>
      <c r="C138" s="421"/>
      <c r="D138" s="421"/>
      <c r="E138" s="440"/>
      <c r="F138" s="440"/>
      <c r="G138" s="440"/>
      <c r="H138" s="441"/>
      <c r="I138" s="440"/>
      <c r="J138" s="443"/>
      <c r="K138" s="411"/>
      <c r="L138" s="414"/>
      <c r="M138" s="439"/>
      <c r="N138" s="184"/>
      <c r="O138" s="411"/>
      <c r="P138" s="414"/>
      <c r="Q138" s="430"/>
      <c r="R138" s="178">
        <v>3</v>
      </c>
      <c r="S138" s="174"/>
      <c r="T138" s="175" t="str">
        <f t="shared" si="180"/>
        <v/>
      </c>
      <c r="U138" s="179"/>
      <c r="V138" s="179"/>
      <c r="W138" s="180" t="str">
        <f t="shared" si="181"/>
        <v/>
      </c>
      <c r="X138" s="179"/>
      <c r="Y138" s="179"/>
      <c r="Z138" s="179"/>
      <c r="AA138" s="154" t="str">
        <f t="shared" si="182"/>
        <v/>
      </c>
      <c r="AB138" s="168" t="str">
        <f t="shared" si="183"/>
        <v/>
      </c>
      <c r="AC138" s="169" t="str">
        <f t="shared" si="184"/>
        <v/>
      </c>
      <c r="AD138" s="168" t="str">
        <f t="shared" si="185"/>
        <v/>
      </c>
      <c r="AE138" s="169" t="str">
        <f t="shared" si="186"/>
        <v/>
      </c>
      <c r="AF138" s="170" t="str">
        <f t="shared" si="187"/>
        <v/>
      </c>
      <c r="AG138" s="171"/>
      <c r="AH138" s="166"/>
      <c r="AI138" s="164"/>
      <c r="AJ138" s="165"/>
      <c r="AK138" s="165"/>
      <c r="AL138" s="166"/>
      <c r="AM138" s="164"/>
    </row>
    <row r="139" spans="1:39" s="163" customFormat="1" ht="151.5" customHeight="1" x14ac:dyDescent="0.35">
      <c r="A139" s="422">
        <v>46</v>
      </c>
      <c r="B139" s="419" t="s">
        <v>565</v>
      </c>
      <c r="C139" s="419" t="s">
        <v>564</v>
      </c>
      <c r="D139" s="419" t="s">
        <v>566</v>
      </c>
      <c r="E139" s="406" t="s">
        <v>118</v>
      </c>
      <c r="F139" s="406" t="s">
        <v>567</v>
      </c>
      <c r="G139" s="406" t="s">
        <v>568</v>
      </c>
      <c r="H139" s="423" t="s">
        <v>562</v>
      </c>
      <c r="I139" s="406" t="s">
        <v>328</v>
      </c>
      <c r="J139" s="404">
        <v>20</v>
      </c>
      <c r="K139" s="409" t="str">
        <f>IF(J139&lt;=0,"",IF(J139&lt;=2,"Muy Baja",IF(J139&lt;=24,"Baja",IF(J139&lt;=500,"Media",IF(J139&lt;=5000,"Alta","Muy Alta")))))</f>
        <v>Baja</v>
      </c>
      <c r="L139" s="412">
        <f>IF(K139="","",IF(K139="Muy Baja",0.2,IF(K139="Baja",0.4,IF(K139="Media",0.6,IF(K139="Alta",0.8,IF(K139="Muy Alta",1,))))))</f>
        <v>0.4</v>
      </c>
      <c r="M139" s="415" t="s">
        <v>485</v>
      </c>
      <c r="N139" s="177" t="str">
        <f>IF(NOT(ISERROR(MATCH(M139,'Tabla Impacto'!$B$221:$B$223,0))),'Tabla Impacto'!$F$223&amp;"Por favor no seleccionar los criterios de impacto(Afectación Económica o presupuestal y Pérdida Reputacional)",M139)</f>
        <v xml:space="preserve"> El riesgo afecta la imagen de la entidad con algunos usuarios de relevancia frente al logro de los objetivos</v>
      </c>
      <c r="O139" s="409" t="str">
        <f>IF(OR(N139='Tabla Impacto'!$C$11,N139='Tabla Impacto'!$D$11),"Leve",IF(OR(N139='Tabla Impacto'!$C$12,N139='Tabla Impacto'!$D$12),"Menor",IF(OR(N139='Tabla Impacto'!$C$13,N139='Tabla Impacto'!$D$13),"Moderado",IF(OR(N139='Tabla Impacto'!$C$14,N139='Tabla Impacto'!$D$14),"Mayor",IF(OR(N139='Tabla Impacto'!$C$15,N139='Tabla Impacto'!$D$15),"Catastrófico","")))))</f>
        <v>Moderado</v>
      </c>
      <c r="P139" s="412">
        <f>IF(O139="","",IF(O139="Leve",0.2,IF(O139="Menor",0.4,IF(O139="Moderado",0.6,IF(O139="Mayor",0.8,IF(O139="Catastrófico",1,))))))</f>
        <v>0.6</v>
      </c>
      <c r="Q139" s="428"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78">
        <v>1</v>
      </c>
      <c r="S139" s="174" t="s">
        <v>572</v>
      </c>
      <c r="T139" s="237" t="str">
        <f t="shared" si="180"/>
        <v>Probabilidad</v>
      </c>
      <c r="U139" s="179" t="s">
        <v>15</v>
      </c>
      <c r="V139" s="179" t="s">
        <v>9</v>
      </c>
      <c r="W139" s="180" t="str">
        <f t="shared" si="181"/>
        <v>30%</v>
      </c>
      <c r="X139" s="179" t="s">
        <v>19</v>
      </c>
      <c r="Y139" s="179" t="s">
        <v>22</v>
      </c>
      <c r="Z139" s="179" t="s">
        <v>110</v>
      </c>
      <c r="AA139" s="154">
        <f t="shared" si="182"/>
        <v>0.28000000000000003</v>
      </c>
      <c r="AB139" s="168" t="str">
        <f t="shared" si="183"/>
        <v>Baja</v>
      </c>
      <c r="AC139" s="169">
        <f t="shared" si="184"/>
        <v>0.28000000000000003</v>
      </c>
      <c r="AD139" s="168" t="str">
        <f t="shared" si="185"/>
        <v>Moderado</v>
      </c>
      <c r="AE139" s="169">
        <f t="shared" si="186"/>
        <v>0.6</v>
      </c>
      <c r="AF139" s="170" t="str">
        <f t="shared" si="187"/>
        <v>Moderado</v>
      </c>
      <c r="AG139" s="171" t="s">
        <v>122</v>
      </c>
      <c r="AH139" s="166" t="s">
        <v>563</v>
      </c>
      <c r="AI139" s="164" t="s">
        <v>260</v>
      </c>
      <c r="AJ139" s="165" t="s">
        <v>286</v>
      </c>
      <c r="AK139" s="165" t="s">
        <v>287</v>
      </c>
      <c r="AL139" s="166" t="s">
        <v>591</v>
      </c>
      <c r="AM139" s="164"/>
    </row>
    <row r="140" spans="1:39" s="163" customFormat="1" ht="151.5" customHeight="1" x14ac:dyDescent="0.35">
      <c r="A140" s="422"/>
      <c r="B140" s="420"/>
      <c r="C140" s="420"/>
      <c r="D140" s="420"/>
      <c r="E140" s="407"/>
      <c r="F140" s="407"/>
      <c r="G140" s="407"/>
      <c r="H140" s="424"/>
      <c r="I140" s="407"/>
      <c r="J140" s="405"/>
      <c r="K140" s="410"/>
      <c r="L140" s="413"/>
      <c r="M140" s="416"/>
      <c r="N140" s="184"/>
      <c r="O140" s="410"/>
      <c r="P140" s="413"/>
      <c r="Q140" s="429"/>
      <c r="R140" s="178">
        <v>2</v>
      </c>
      <c r="S140" s="174"/>
      <c r="T140" s="175" t="str">
        <f t="shared" si="180"/>
        <v/>
      </c>
      <c r="U140" s="179"/>
      <c r="V140" s="179"/>
      <c r="W140" s="180" t="str">
        <f t="shared" si="181"/>
        <v/>
      </c>
      <c r="X140" s="179"/>
      <c r="Y140" s="179"/>
      <c r="Z140" s="179"/>
      <c r="AA140" s="154" t="str">
        <f t="shared" si="182"/>
        <v/>
      </c>
      <c r="AB140" s="168" t="str">
        <f t="shared" si="183"/>
        <v/>
      </c>
      <c r="AC140" s="169" t="str">
        <f t="shared" si="184"/>
        <v/>
      </c>
      <c r="AD140" s="168" t="str">
        <f t="shared" si="185"/>
        <v/>
      </c>
      <c r="AE140" s="169" t="str">
        <f t="shared" si="186"/>
        <v/>
      </c>
      <c r="AF140" s="170" t="str">
        <f t="shared" si="187"/>
        <v/>
      </c>
      <c r="AG140" s="171"/>
      <c r="AH140" s="166"/>
      <c r="AI140" s="164"/>
      <c r="AJ140" s="165"/>
      <c r="AK140" s="165"/>
      <c r="AL140" s="166"/>
      <c r="AM140" s="164"/>
    </row>
    <row r="141" spans="1:39" s="163" customFormat="1" ht="151.5" customHeight="1" x14ac:dyDescent="0.35">
      <c r="A141" s="422"/>
      <c r="B141" s="421"/>
      <c r="C141" s="421"/>
      <c r="D141" s="421"/>
      <c r="E141" s="440"/>
      <c r="F141" s="440"/>
      <c r="G141" s="440"/>
      <c r="H141" s="441"/>
      <c r="I141" s="440"/>
      <c r="J141" s="443"/>
      <c r="K141" s="411"/>
      <c r="L141" s="414"/>
      <c r="M141" s="439"/>
      <c r="N141" s="184"/>
      <c r="O141" s="411"/>
      <c r="P141" s="414"/>
      <c r="Q141" s="430"/>
      <c r="R141" s="178">
        <v>3</v>
      </c>
      <c r="S141" s="174"/>
      <c r="T141" s="175" t="str">
        <f t="shared" si="180"/>
        <v/>
      </c>
      <c r="U141" s="179"/>
      <c r="V141" s="179"/>
      <c r="W141" s="180" t="str">
        <f t="shared" si="181"/>
        <v/>
      </c>
      <c r="X141" s="179"/>
      <c r="Y141" s="179"/>
      <c r="Z141" s="179"/>
      <c r="AA141" s="154" t="str">
        <f t="shared" si="182"/>
        <v/>
      </c>
      <c r="AB141" s="168" t="str">
        <f t="shared" si="183"/>
        <v/>
      </c>
      <c r="AC141" s="169" t="str">
        <f t="shared" si="184"/>
        <v/>
      </c>
      <c r="AD141" s="168" t="str">
        <f t="shared" si="185"/>
        <v/>
      </c>
      <c r="AE141" s="169" t="str">
        <f t="shared" si="186"/>
        <v/>
      </c>
      <c r="AF141" s="170" t="str">
        <f t="shared" si="187"/>
        <v/>
      </c>
      <c r="AG141" s="171"/>
      <c r="AH141" s="166"/>
      <c r="AI141" s="164"/>
      <c r="AJ141" s="165"/>
      <c r="AK141" s="165"/>
      <c r="AL141" s="166"/>
      <c r="AM141" s="164"/>
    </row>
    <row r="142" spans="1:39" s="163" customFormat="1" ht="151.5" customHeight="1" x14ac:dyDescent="0.35">
      <c r="A142" s="422"/>
      <c r="B142" s="419" t="s">
        <v>592</v>
      </c>
      <c r="C142" s="419" t="s">
        <v>593</v>
      </c>
      <c r="D142" s="419" t="s">
        <v>594</v>
      </c>
      <c r="E142" s="406" t="s">
        <v>118</v>
      </c>
      <c r="F142" s="406" t="s">
        <v>595</v>
      </c>
      <c r="G142" s="406" t="s">
        <v>596</v>
      </c>
      <c r="H142" s="423" t="s">
        <v>597</v>
      </c>
      <c r="I142" s="406" t="s">
        <v>328</v>
      </c>
      <c r="J142" s="404">
        <v>12</v>
      </c>
      <c r="K142" s="409" t="str">
        <f>IF(J142&lt;=0,"",IF(J142&lt;=2,"Muy Baja",IF(J142&lt;=24,"Baja",IF(J142&lt;=500,"Media",IF(J142&lt;=5000,"Alta","Muy Alta")))))</f>
        <v>Baja</v>
      </c>
      <c r="L142" s="412">
        <f>IF(K142="","",IF(K142="Muy Baja",0.2,IF(K142="Baja",0.4,IF(K142="Media",0.6,IF(K142="Alta",0.8,IF(K142="Muy Alta",1,))))))</f>
        <v>0.4</v>
      </c>
      <c r="M142" s="415" t="s">
        <v>485</v>
      </c>
      <c r="N142" s="177" t="str">
        <f>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409" t="str">
        <f>IF(OR(N142='Tabla Impacto'!$C$11,N142='Tabla Impacto'!$D$11),"Leve",IF(OR(N142='Tabla Impacto'!$C$12,N142='Tabla Impacto'!$D$12),"Menor",IF(OR(N142='Tabla Impacto'!$C$13,N142='Tabla Impacto'!$D$13),"Moderado",IF(OR(N142='Tabla Impacto'!$C$14,N142='Tabla Impacto'!$D$14),"Mayor",IF(OR(N142='Tabla Impacto'!$C$15,N142='Tabla Impacto'!$D$15),"Catastrófico","")))))</f>
        <v>Moderado</v>
      </c>
      <c r="P142" s="412">
        <f>IF(O142="","",IF(O142="Leve",0.2,IF(O142="Menor",0.4,IF(O142="Moderado",0.6,IF(O142="Mayor",0.8,IF(O142="Catastrófico",1,))))))</f>
        <v>0.6</v>
      </c>
      <c r="Q142" s="428"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78">
        <v>1</v>
      </c>
      <c r="S142" s="174" t="s">
        <v>601</v>
      </c>
      <c r="T142" s="175" t="str">
        <f t="shared" si="180"/>
        <v/>
      </c>
      <c r="U142" s="179"/>
      <c r="V142" s="179"/>
      <c r="W142" s="180" t="str">
        <f t="shared" si="181"/>
        <v/>
      </c>
      <c r="X142" s="179"/>
      <c r="Y142" s="179"/>
      <c r="Z142" s="179"/>
      <c r="AA142" s="154" t="str">
        <f t="shared" si="182"/>
        <v/>
      </c>
      <c r="AB142" s="168" t="str">
        <f t="shared" si="183"/>
        <v/>
      </c>
      <c r="AC142" s="169" t="str">
        <f t="shared" si="184"/>
        <v/>
      </c>
      <c r="AD142" s="168" t="str">
        <f t="shared" si="185"/>
        <v/>
      </c>
      <c r="AE142" s="169" t="str">
        <f t="shared" si="186"/>
        <v/>
      </c>
      <c r="AF142" s="170" t="str">
        <f t="shared" si="187"/>
        <v/>
      </c>
      <c r="AG142" s="171"/>
      <c r="AH142" s="166" t="s">
        <v>598</v>
      </c>
      <c r="AI142" s="164" t="s">
        <v>212</v>
      </c>
      <c r="AJ142" s="165" t="s">
        <v>286</v>
      </c>
      <c r="AK142" s="165" t="s">
        <v>287</v>
      </c>
      <c r="AL142" s="166" t="s">
        <v>600</v>
      </c>
      <c r="AM142" s="164"/>
    </row>
    <row r="143" spans="1:39" s="163" customFormat="1" ht="151.5" customHeight="1" x14ac:dyDescent="0.35">
      <c r="A143" s="422"/>
      <c r="B143" s="420"/>
      <c r="C143" s="420"/>
      <c r="D143" s="420"/>
      <c r="E143" s="407"/>
      <c r="F143" s="407"/>
      <c r="G143" s="407"/>
      <c r="H143" s="424"/>
      <c r="I143" s="407"/>
      <c r="J143" s="405"/>
      <c r="K143" s="410"/>
      <c r="L143" s="413"/>
      <c r="M143" s="416"/>
      <c r="N143" s="184"/>
      <c r="O143" s="410"/>
      <c r="P143" s="413"/>
      <c r="Q143" s="429"/>
      <c r="R143" s="178">
        <v>2</v>
      </c>
      <c r="S143" s="174"/>
      <c r="T143" s="175" t="str">
        <f t="shared" si="180"/>
        <v/>
      </c>
      <c r="U143" s="179"/>
      <c r="V143" s="179"/>
      <c r="W143" s="180" t="str">
        <f t="shared" si="181"/>
        <v/>
      </c>
      <c r="X143" s="179"/>
      <c r="Y143" s="179"/>
      <c r="Z143" s="179"/>
      <c r="AA143" s="154" t="str">
        <f t="shared" si="182"/>
        <v/>
      </c>
      <c r="AB143" s="168" t="str">
        <f t="shared" si="183"/>
        <v/>
      </c>
      <c r="AC143" s="169" t="str">
        <f t="shared" si="184"/>
        <v/>
      </c>
      <c r="AD143" s="168" t="str">
        <f t="shared" si="185"/>
        <v/>
      </c>
      <c r="AE143" s="169" t="str">
        <f t="shared" si="186"/>
        <v/>
      </c>
      <c r="AF143" s="170" t="str">
        <f t="shared" si="187"/>
        <v/>
      </c>
      <c r="AG143" s="171"/>
      <c r="AH143" s="166"/>
      <c r="AI143" s="164"/>
      <c r="AJ143" s="165"/>
      <c r="AK143" s="165"/>
      <c r="AL143" s="166"/>
      <c r="AM143" s="164"/>
    </row>
    <row r="144" spans="1:39" s="163" customFormat="1" ht="151.5" customHeight="1" x14ac:dyDescent="0.35">
      <c r="A144" s="422"/>
      <c r="B144" s="421"/>
      <c r="C144" s="421"/>
      <c r="D144" s="421"/>
      <c r="E144" s="440"/>
      <c r="F144" s="440"/>
      <c r="G144" s="440"/>
      <c r="H144" s="441"/>
      <c r="I144" s="440"/>
      <c r="J144" s="443"/>
      <c r="K144" s="411"/>
      <c r="L144" s="414"/>
      <c r="M144" s="439"/>
      <c r="N144" s="184"/>
      <c r="O144" s="411"/>
      <c r="P144" s="414"/>
      <c r="Q144" s="430"/>
      <c r="R144" s="178">
        <v>3</v>
      </c>
      <c r="S144" s="174"/>
      <c r="T144" s="175" t="str">
        <f t="shared" si="180"/>
        <v/>
      </c>
      <c r="U144" s="179"/>
      <c r="V144" s="179"/>
      <c r="W144" s="180" t="str">
        <f t="shared" si="181"/>
        <v/>
      </c>
      <c r="X144" s="179"/>
      <c r="Y144" s="179"/>
      <c r="Z144" s="179"/>
      <c r="AA144" s="154" t="str">
        <f t="shared" si="182"/>
        <v/>
      </c>
      <c r="AB144" s="168" t="str">
        <f t="shared" si="183"/>
        <v/>
      </c>
      <c r="AC144" s="169" t="str">
        <f t="shared" si="184"/>
        <v/>
      </c>
      <c r="AD144" s="168" t="str">
        <f t="shared" si="185"/>
        <v/>
      </c>
      <c r="AE144" s="169" t="str">
        <f t="shared" si="186"/>
        <v/>
      </c>
      <c r="AF144" s="170" t="str">
        <f t="shared" si="187"/>
        <v/>
      </c>
      <c r="AG144" s="171"/>
      <c r="AH144" s="166"/>
      <c r="AI144" s="164"/>
      <c r="AJ144" s="165"/>
      <c r="AK144" s="165"/>
      <c r="AL144" s="166"/>
      <c r="AM144" s="164"/>
    </row>
    <row r="145" spans="1:39" s="163" customFormat="1" ht="151.5" customHeight="1" x14ac:dyDescent="0.35">
      <c r="A145" s="422"/>
      <c r="B145" s="419"/>
      <c r="C145" s="431"/>
      <c r="D145" s="431"/>
      <c r="E145" s="406"/>
      <c r="F145" s="406"/>
      <c r="G145" s="406"/>
      <c r="H145" s="423"/>
      <c r="I145" s="406"/>
      <c r="J145" s="404"/>
      <c r="K145" s="409" t="str">
        <f>IF(J145&lt;=0,"",IF(J145&lt;=2,"Muy Baja",IF(J145&lt;=24,"Baja",IF(J145&lt;=500,"Media",IF(J145&lt;=5000,"Alta","Muy Alta")))))</f>
        <v/>
      </c>
      <c r="L145" s="412" t="str">
        <f>IF(K145="","",IF(K145="Muy Baja",0.2,IF(K145="Baja",0.4,IF(K145="Media",0.6,IF(K145="Alta",0.8,IF(K145="Muy Alta",1,))))))</f>
        <v/>
      </c>
      <c r="M145" s="415"/>
      <c r="N145" s="177">
        <f>IF(NOT(ISERROR(MATCH(M145,'Tabla Impacto'!$B$221:$B$223,0))),'Tabla Impacto'!$F$223&amp;"Por favor no seleccionar los criterios de impacto(Afectación Económica o presupuestal y Pérdida Reputacional)",M145)</f>
        <v>0</v>
      </c>
      <c r="O145" s="409" t="str">
        <f>IF(OR(N145='Tabla Impacto'!$C$11,N145='Tabla Impacto'!$D$11),"Leve",IF(OR(N145='Tabla Impacto'!$C$12,N145='Tabla Impacto'!$D$12),"Menor",IF(OR(N145='Tabla Impacto'!$C$13,N145='Tabla Impacto'!$D$13),"Moderado",IF(OR(N145='Tabla Impacto'!$C$14,N145='Tabla Impacto'!$D$14),"Mayor",IF(OR(N145='Tabla Impacto'!$C$15,N145='Tabla Impacto'!$D$15),"Catastrófico","")))))</f>
        <v/>
      </c>
      <c r="P145" s="412" t="str">
        <f>IF(O145="","",IF(O145="Leve",0.2,IF(O145="Menor",0.4,IF(O145="Moderado",0.6,IF(O145="Mayor",0.8,IF(O145="Catastrófico",1,))))))</f>
        <v/>
      </c>
      <c r="Q145" s="428"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78">
        <v>1</v>
      </c>
      <c r="S145" s="174"/>
      <c r="T145" s="175" t="str">
        <f t="shared" si="180"/>
        <v/>
      </c>
      <c r="U145" s="179"/>
      <c r="V145" s="179"/>
      <c r="W145" s="180" t="str">
        <f t="shared" si="181"/>
        <v/>
      </c>
      <c r="X145" s="179"/>
      <c r="Y145" s="179"/>
      <c r="Z145" s="179"/>
      <c r="AA145" s="154" t="str">
        <f t="shared" si="182"/>
        <v/>
      </c>
      <c r="AB145" s="168" t="str">
        <f t="shared" si="183"/>
        <v/>
      </c>
      <c r="AC145" s="169" t="str">
        <f t="shared" si="184"/>
        <v/>
      </c>
      <c r="AD145" s="168" t="str">
        <f t="shared" si="185"/>
        <v/>
      </c>
      <c r="AE145" s="169" t="str">
        <f t="shared" si="186"/>
        <v/>
      </c>
      <c r="AF145" s="170" t="str">
        <f t="shared" si="187"/>
        <v/>
      </c>
      <c r="AG145" s="171"/>
      <c r="AH145" s="166"/>
      <c r="AI145" s="164"/>
      <c r="AJ145" s="165"/>
      <c r="AK145" s="165"/>
      <c r="AL145" s="166"/>
      <c r="AM145" s="164"/>
    </row>
    <row r="146" spans="1:39" s="163" customFormat="1" ht="151.5" customHeight="1" x14ac:dyDescent="0.35">
      <c r="A146" s="422"/>
      <c r="B146" s="420"/>
      <c r="C146" s="422"/>
      <c r="D146" s="422"/>
      <c r="E146" s="407"/>
      <c r="F146" s="407"/>
      <c r="G146" s="407"/>
      <c r="H146" s="424"/>
      <c r="I146" s="407"/>
      <c r="J146" s="405"/>
      <c r="K146" s="410"/>
      <c r="L146" s="413"/>
      <c r="M146" s="416"/>
      <c r="N146" s="184"/>
      <c r="O146" s="410"/>
      <c r="P146" s="413"/>
      <c r="Q146" s="429"/>
      <c r="R146" s="178">
        <v>2</v>
      </c>
      <c r="S146" s="174"/>
      <c r="T146" s="175" t="str">
        <f t="shared" si="180"/>
        <v/>
      </c>
      <c r="U146" s="179"/>
      <c r="V146" s="179"/>
      <c r="W146" s="180" t="str">
        <f t="shared" si="181"/>
        <v/>
      </c>
      <c r="X146" s="179"/>
      <c r="Y146" s="179"/>
      <c r="Z146" s="179"/>
      <c r="AA146" s="154" t="str">
        <f t="shared" si="182"/>
        <v/>
      </c>
      <c r="AB146" s="168" t="str">
        <f t="shared" si="183"/>
        <v/>
      </c>
      <c r="AC146" s="169" t="str">
        <f t="shared" si="184"/>
        <v/>
      </c>
      <c r="AD146" s="168" t="str">
        <f t="shared" si="185"/>
        <v/>
      </c>
      <c r="AE146" s="169" t="str">
        <f t="shared" si="186"/>
        <v/>
      </c>
      <c r="AF146" s="170" t="str">
        <f t="shared" si="187"/>
        <v/>
      </c>
      <c r="AG146" s="171"/>
      <c r="AH146" s="166"/>
      <c r="AI146" s="164"/>
      <c r="AJ146" s="165"/>
      <c r="AK146" s="165"/>
      <c r="AL146" s="166"/>
      <c r="AM146" s="164"/>
    </row>
    <row r="147" spans="1:39" s="163" customFormat="1" ht="151.5" customHeight="1" x14ac:dyDescent="0.35">
      <c r="A147" s="422"/>
      <c r="B147" s="421"/>
      <c r="C147" s="442"/>
      <c r="D147" s="442"/>
      <c r="E147" s="440"/>
      <c r="F147" s="440"/>
      <c r="G147" s="440"/>
      <c r="H147" s="441"/>
      <c r="I147" s="440"/>
      <c r="J147" s="443"/>
      <c r="K147" s="411"/>
      <c r="L147" s="414"/>
      <c r="M147" s="439"/>
      <c r="N147" s="184"/>
      <c r="O147" s="411"/>
      <c r="P147" s="414"/>
      <c r="Q147" s="430"/>
      <c r="R147" s="178">
        <v>3</v>
      </c>
      <c r="S147" s="174"/>
      <c r="T147" s="175" t="str">
        <f t="shared" si="180"/>
        <v/>
      </c>
      <c r="U147" s="179"/>
      <c r="V147" s="179"/>
      <c r="W147" s="180" t="str">
        <f t="shared" si="181"/>
        <v/>
      </c>
      <c r="X147" s="179"/>
      <c r="Y147" s="179"/>
      <c r="Z147" s="179"/>
      <c r="AA147" s="154" t="str">
        <f t="shared" si="182"/>
        <v/>
      </c>
      <c r="AB147" s="168" t="str">
        <f t="shared" si="183"/>
        <v/>
      </c>
      <c r="AC147" s="169" t="str">
        <f t="shared" si="184"/>
        <v/>
      </c>
      <c r="AD147" s="168" t="str">
        <f t="shared" si="185"/>
        <v/>
      </c>
      <c r="AE147" s="169" t="str">
        <f t="shared" si="186"/>
        <v/>
      </c>
      <c r="AF147" s="170" t="str">
        <f t="shared" si="187"/>
        <v/>
      </c>
      <c r="AG147" s="171"/>
      <c r="AH147" s="166"/>
      <c r="AI147" s="164"/>
      <c r="AJ147" s="165"/>
      <c r="AK147" s="165"/>
      <c r="AL147" s="166"/>
      <c r="AM147" s="164"/>
    </row>
    <row r="148" spans="1:39" s="163" customFormat="1" ht="151.5" customHeight="1" x14ac:dyDescent="0.35">
      <c r="A148" s="422"/>
      <c r="B148" s="419"/>
      <c r="C148" s="431"/>
      <c r="D148" s="431"/>
      <c r="E148" s="406"/>
      <c r="F148" s="406"/>
      <c r="G148" s="406"/>
      <c r="H148" s="423"/>
      <c r="I148" s="406"/>
      <c r="J148" s="404"/>
      <c r="K148" s="409" t="str">
        <f>IF(J148&lt;=0,"",IF(J148&lt;=2,"Muy Baja",IF(J148&lt;=24,"Baja",IF(J148&lt;=500,"Media",IF(J148&lt;=5000,"Alta","Muy Alta")))))</f>
        <v/>
      </c>
      <c r="L148" s="412" t="str">
        <f>IF(K148="","",IF(K148="Muy Baja",0.2,IF(K148="Baja",0.4,IF(K148="Media",0.6,IF(K148="Alta",0.8,IF(K148="Muy Alta",1,))))))</f>
        <v/>
      </c>
      <c r="M148" s="415"/>
      <c r="N148" s="177">
        <f>IF(NOT(ISERROR(MATCH(M148,'Tabla Impacto'!$B$221:$B$223,0))),'Tabla Impacto'!$F$223&amp;"Por favor no seleccionar los criterios de impacto(Afectación Económica o presupuestal y Pérdida Reputacional)",M148)</f>
        <v>0</v>
      </c>
      <c r="O148" s="409" t="str">
        <f>IF(OR(N148='Tabla Impacto'!$C$11,N148='Tabla Impacto'!$D$11),"Leve",IF(OR(N148='Tabla Impacto'!$C$12,N148='Tabla Impacto'!$D$12),"Menor",IF(OR(N148='Tabla Impacto'!$C$13,N148='Tabla Impacto'!$D$13),"Moderado",IF(OR(N148='Tabla Impacto'!$C$14,N148='Tabla Impacto'!$D$14),"Mayor",IF(OR(N148='Tabla Impacto'!$C$15,N148='Tabla Impacto'!$D$15),"Catastrófico","")))))</f>
        <v/>
      </c>
      <c r="P148" s="412" t="str">
        <f>IF(O148="","",IF(O148="Leve",0.2,IF(O148="Menor",0.4,IF(O148="Moderado",0.6,IF(O148="Mayor",0.8,IF(O148="Catastrófico",1,))))))</f>
        <v/>
      </c>
      <c r="Q148" s="428"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78">
        <v>1</v>
      </c>
      <c r="S148" s="174"/>
      <c r="T148" s="175" t="str">
        <f t="shared" si="180"/>
        <v/>
      </c>
      <c r="U148" s="179"/>
      <c r="V148" s="179"/>
      <c r="W148" s="180" t="str">
        <f t="shared" si="181"/>
        <v/>
      </c>
      <c r="X148" s="179"/>
      <c r="Y148" s="179"/>
      <c r="Z148" s="179"/>
      <c r="AA148" s="154" t="str">
        <f t="shared" si="182"/>
        <v/>
      </c>
      <c r="AB148" s="168" t="str">
        <f t="shared" si="183"/>
        <v/>
      </c>
      <c r="AC148" s="169" t="str">
        <f t="shared" si="184"/>
        <v/>
      </c>
      <c r="AD148" s="168" t="str">
        <f t="shared" si="185"/>
        <v/>
      </c>
      <c r="AE148" s="169" t="str">
        <f t="shared" si="186"/>
        <v/>
      </c>
      <c r="AF148" s="170" t="str">
        <f t="shared" si="187"/>
        <v/>
      </c>
      <c r="AG148" s="171"/>
      <c r="AH148" s="166"/>
      <c r="AI148" s="164"/>
      <c r="AJ148" s="165"/>
      <c r="AK148" s="165"/>
      <c r="AL148" s="166"/>
      <c r="AM148" s="164"/>
    </row>
    <row r="149" spans="1:39" s="163" customFormat="1" ht="151.5" customHeight="1" x14ac:dyDescent="0.35">
      <c r="A149" s="422"/>
      <c r="B149" s="420"/>
      <c r="C149" s="422"/>
      <c r="D149" s="422"/>
      <c r="E149" s="407"/>
      <c r="F149" s="407"/>
      <c r="G149" s="407"/>
      <c r="H149" s="424"/>
      <c r="I149" s="407"/>
      <c r="J149" s="405"/>
      <c r="K149" s="410"/>
      <c r="L149" s="413"/>
      <c r="M149" s="416"/>
      <c r="N149" s="184"/>
      <c r="O149" s="410"/>
      <c r="P149" s="413"/>
      <c r="Q149" s="429"/>
      <c r="R149" s="178">
        <v>2</v>
      </c>
      <c r="S149" s="174"/>
      <c r="T149" s="175" t="str">
        <f t="shared" si="180"/>
        <v/>
      </c>
      <c r="U149" s="179"/>
      <c r="V149" s="179"/>
      <c r="W149" s="180" t="str">
        <f t="shared" si="181"/>
        <v/>
      </c>
      <c r="X149" s="179"/>
      <c r="Y149" s="179"/>
      <c r="Z149" s="179"/>
      <c r="AA149" s="154" t="str">
        <f t="shared" si="182"/>
        <v/>
      </c>
      <c r="AB149" s="168" t="str">
        <f t="shared" si="183"/>
        <v/>
      </c>
      <c r="AC149" s="169" t="str">
        <f t="shared" si="184"/>
        <v/>
      </c>
      <c r="AD149" s="168" t="str">
        <f t="shared" si="185"/>
        <v/>
      </c>
      <c r="AE149" s="169" t="str">
        <f t="shared" si="186"/>
        <v/>
      </c>
      <c r="AF149" s="170" t="str">
        <f t="shared" si="187"/>
        <v/>
      </c>
      <c r="AG149" s="171"/>
      <c r="AH149" s="166"/>
      <c r="AI149" s="164"/>
      <c r="AJ149" s="165"/>
      <c r="AK149" s="165"/>
      <c r="AL149" s="166"/>
      <c r="AM149" s="164"/>
    </row>
    <row r="150" spans="1:39" s="163" customFormat="1" ht="151.5" customHeight="1" x14ac:dyDescent="0.35">
      <c r="A150" s="442"/>
      <c r="B150" s="421"/>
      <c r="C150" s="442"/>
      <c r="D150" s="442"/>
      <c r="E150" s="440"/>
      <c r="F150" s="440"/>
      <c r="G150" s="440"/>
      <c r="H150" s="441"/>
      <c r="I150" s="440"/>
      <c r="J150" s="443"/>
      <c r="K150" s="411"/>
      <c r="L150" s="414"/>
      <c r="M150" s="439"/>
      <c r="N150" s="184"/>
      <c r="O150" s="411"/>
      <c r="P150" s="414"/>
      <c r="Q150" s="430"/>
      <c r="R150" s="178">
        <v>3</v>
      </c>
      <c r="S150" s="174"/>
      <c r="T150" s="175" t="str">
        <f t="shared" si="180"/>
        <v/>
      </c>
      <c r="U150" s="179"/>
      <c r="V150" s="179"/>
      <c r="W150" s="180" t="str">
        <f t="shared" si="181"/>
        <v/>
      </c>
      <c r="X150" s="179"/>
      <c r="Y150" s="179"/>
      <c r="Z150" s="179"/>
      <c r="AA150" s="154" t="str">
        <f t="shared" si="182"/>
        <v/>
      </c>
      <c r="AB150" s="168" t="str">
        <f t="shared" si="183"/>
        <v/>
      </c>
      <c r="AC150" s="169" t="str">
        <f t="shared" si="184"/>
        <v/>
      </c>
      <c r="AD150" s="168" t="str">
        <f t="shared" si="185"/>
        <v/>
      </c>
      <c r="AE150" s="169" t="str">
        <f t="shared" si="186"/>
        <v/>
      </c>
      <c r="AF150" s="170" t="str">
        <f t="shared" si="187"/>
        <v/>
      </c>
      <c r="AG150" s="171"/>
      <c r="AH150" s="166"/>
      <c r="AI150" s="164"/>
      <c r="AJ150" s="165"/>
      <c r="AK150" s="165"/>
      <c r="AL150" s="166"/>
      <c r="AM150" s="164"/>
    </row>
    <row r="151" spans="1:39" ht="49.5" customHeight="1" x14ac:dyDescent="0.35">
      <c r="A151" s="3"/>
      <c r="B151" s="97"/>
      <c r="C151" s="97"/>
      <c r="D151" s="97"/>
      <c r="E151" s="376" t="s">
        <v>512</v>
      </c>
      <c r="F151" s="377"/>
      <c r="G151" s="377"/>
      <c r="H151" s="377"/>
      <c r="I151" s="377"/>
      <c r="J151" s="377"/>
      <c r="K151" s="377"/>
      <c r="L151" s="377"/>
      <c r="M151" s="377"/>
      <c r="N151" s="377"/>
      <c r="O151" s="377"/>
      <c r="P151" s="377"/>
      <c r="Q151" s="3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8"/>
    </row>
    <row r="153" spans="1:39" x14ac:dyDescent="0.35">
      <c r="A153" s="2"/>
      <c r="B153" s="2"/>
      <c r="C153" s="2"/>
      <c r="D153" s="2"/>
      <c r="E153" s="20" t="s">
        <v>349</v>
      </c>
      <c r="F153" s="2"/>
      <c r="G153" s="2"/>
    </row>
  </sheetData>
  <autoFilter ref="A6:CP151"/>
  <dataConsolidate/>
  <mergeCells count="810">
    <mergeCell ref="B136:B138"/>
    <mergeCell ref="A136:A138"/>
    <mergeCell ref="O97:O99"/>
    <mergeCell ref="P97:P99"/>
    <mergeCell ref="Q97:Q99"/>
    <mergeCell ref="J136:J138"/>
    <mergeCell ref="I136:I138"/>
    <mergeCell ref="H136:H138"/>
    <mergeCell ref="G136:G138"/>
    <mergeCell ref="F136:F138"/>
    <mergeCell ref="E136:E138"/>
    <mergeCell ref="B97:B99"/>
    <mergeCell ref="C97:C99"/>
    <mergeCell ref="D97:D99"/>
    <mergeCell ref="E97:E99"/>
    <mergeCell ref="F97:F99"/>
    <mergeCell ref="G97:G99"/>
    <mergeCell ref="H97:H99"/>
    <mergeCell ref="I97:I99"/>
    <mergeCell ref="J97:J99"/>
    <mergeCell ref="K136:K138"/>
    <mergeCell ref="L136:L138"/>
    <mergeCell ref="O136:O138"/>
    <mergeCell ref="P136:P138"/>
    <mergeCell ref="K145:K147"/>
    <mergeCell ref="L145:L147"/>
    <mergeCell ref="M145:M147"/>
    <mergeCell ref="O145:O147"/>
    <mergeCell ref="P145:P147"/>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C145:C147"/>
    <mergeCell ref="D145:D147"/>
    <mergeCell ref="E145:E147"/>
    <mergeCell ref="F145:F147"/>
    <mergeCell ref="G145:G147"/>
    <mergeCell ref="H145:H147"/>
    <mergeCell ref="I145:I147"/>
    <mergeCell ref="J139:J141"/>
    <mergeCell ref="C139:C141"/>
    <mergeCell ref="D139:D141"/>
    <mergeCell ref="E139:E141"/>
    <mergeCell ref="F139:F141"/>
    <mergeCell ref="G139:G141"/>
    <mergeCell ref="H139:H141"/>
    <mergeCell ref="I139:I141"/>
    <mergeCell ref="J145:J147"/>
    <mergeCell ref="J142:J144"/>
    <mergeCell ref="K142:K144"/>
    <mergeCell ref="L142:L144"/>
    <mergeCell ref="M142:M144"/>
    <mergeCell ref="O142:O144"/>
    <mergeCell ref="P142:P144"/>
    <mergeCell ref="Q142:Q144"/>
    <mergeCell ref="A139:A141"/>
    <mergeCell ref="B139:B141"/>
    <mergeCell ref="A142:A144"/>
    <mergeCell ref="B142:B144"/>
    <mergeCell ref="C142:C144"/>
    <mergeCell ref="D142:D144"/>
    <mergeCell ref="E142:E144"/>
    <mergeCell ref="F142:F144"/>
    <mergeCell ref="G142:G144"/>
    <mergeCell ref="H142:H144"/>
    <mergeCell ref="I142:I144"/>
    <mergeCell ref="Q136:Q138"/>
    <mergeCell ref="K139:K141"/>
    <mergeCell ref="L139:L141"/>
    <mergeCell ref="M139:M141"/>
    <mergeCell ref="O139:O141"/>
    <mergeCell ref="P139:P141"/>
    <mergeCell ref="Q139:Q141"/>
    <mergeCell ref="C130:C132"/>
    <mergeCell ref="D130:D132"/>
    <mergeCell ref="E130:E132"/>
    <mergeCell ref="F130:F132"/>
    <mergeCell ref="G130:G132"/>
    <mergeCell ref="H130:H132"/>
    <mergeCell ref="I130:I132"/>
    <mergeCell ref="K130:K132"/>
    <mergeCell ref="M136:M138"/>
    <mergeCell ref="D136:D138"/>
    <mergeCell ref="C136:C138"/>
    <mergeCell ref="L130:L132"/>
    <mergeCell ref="M130:M132"/>
    <mergeCell ref="O130:O132"/>
    <mergeCell ref="P130:P132"/>
    <mergeCell ref="Q130:Q132"/>
    <mergeCell ref="J133:J135"/>
    <mergeCell ref="K133:K135"/>
    <mergeCell ref="L133:L135"/>
    <mergeCell ref="M133:M135"/>
    <mergeCell ref="O133:O135"/>
    <mergeCell ref="P133:P135"/>
    <mergeCell ref="Q133:Q135"/>
    <mergeCell ref="A130:A132"/>
    <mergeCell ref="B130:B132"/>
    <mergeCell ref="J130:J132"/>
    <mergeCell ref="A133:A135"/>
    <mergeCell ref="B133:B135"/>
    <mergeCell ref="C133:C135"/>
    <mergeCell ref="D133:D135"/>
    <mergeCell ref="E133:E135"/>
    <mergeCell ref="F133:F135"/>
    <mergeCell ref="G133:G135"/>
    <mergeCell ref="H133:H135"/>
    <mergeCell ref="I133:I135"/>
    <mergeCell ref="J124:J126"/>
    <mergeCell ref="K124:K126"/>
    <mergeCell ref="L124:L126"/>
    <mergeCell ref="M124:M126"/>
    <mergeCell ref="O124:O126"/>
    <mergeCell ref="P124:P126"/>
    <mergeCell ref="Q124:Q126"/>
    <mergeCell ref="A127:A129"/>
    <mergeCell ref="B127:B129"/>
    <mergeCell ref="C127:C129"/>
    <mergeCell ref="D127:D129"/>
    <mergeCell ref="E127:E129"/>
    <mergeCell ref="F127:F129"/>
    <mergeCell ref="G127:G129"/>
    <mergeCell ref="H127:H129"/>
    <mergeCell ref="I127:I129"/>
    <mergeCell ref="J127:J129"/>
    <mergeCell ref="K127:K129"/>
    <mergeCell ref="L127:L129"/>
    <mergeCell ref="M127:M129"/>
    <mergeCell ref="O127:O129"/>
    <mergeCell ref="P127:P129"/>
    <mergeCell ref="Q127:Q129"/>
    <mergeCell ref="A124:A126"/>
    <mergeCell ref="B124:B126"/>
    <mergeCell ref="C124:C126"/>
    <mergeCell ref="D124:D126"/>
    <mergeCell ref="E124:E126"/>
    <mergeCell ref="F124:F126"/>
    <mergeCell ref="G124:G126"/>
    <mergeCell ref="H124:H126"/>
    <mergeCell ref="I124:I126"/>
    <mergeCell ref="Q106:Q108"/>
    <mergeCell ref="O109:O111"/>
    <mergeCell ref="P109:P111"/>
    <mergeCell ref="Q109:Q111"/>
    <mergeCell ref="O112:O114"/>
    <mergeCell ref="P112:P114"/>
    <mergeCell ref="Q112:Q114"/>
    <mergeCell ref="K106:K108"/>
    <mergeCell ref="L106:L108"/>
    <mergeCell ref="M106:M108"/>
    <mergeCell ref="O106:O108"/>
    <mergeCell ref="P106:P108"/>
    <mergeCell ref="M112:M114"/>
    <mergeCell ref="L112:L114"/>
    <mergeCell ref="K112:K114"/>
    <mergeCell ref="F106:F108"/>
    <mergeCell ref="G106:G108"/>
    <mergeCell ref="H106:H108"/>
    <mergeCell ref="I106:I108"/>
    <mergeCell ref="J106:J108"/>
    <mergeCell ref="A106:A108"/>
    <mergeCell ref="B106:B108"/>
    <mergeCell ref="C106:C108"/>
    <mergeCell ref="D106:D108"/>
    <mergeCell ref="E106:E108"/>
    <mergeCell ref="Q118:Q120"/>
    <mergeCell ref="P118:P120"/>
    <mergeCell ref="O118:O120"/>
    <mergeCell ref="M118:M120"/>
    <mergeCell ref="M115:M117"/>
    <mergeCell ref="O115:O117"/>
    <mergeCell ref="P115:P117"/>
    <mergeCell ref="Q115:Q117"/>
    <mergeCell ref="H115:H117"/>
    <mergeCell ref="I115:I117"/>
    <mergeCell ref="J115:J117"/>
    <mergeCell ref="K115:K117"/>
    <mergeCell ref="L115:L117"/>
    <mergeCell ref="K118:K120"/>
    <mergeCell ref="L118:L120"/>
    <mergeCell ref="H118:H120"/>
    <mergeCell ref="I118:I120"/>
    <mergeCell ref="J118:J120"/>
    <mergeCell ref="M103:M105"/>
    <mergeCell ref="O103:O105"/>
    <mergeCell ref="P103:P105"/>
    <mergeCell ref="Q103:Q105"/>
    <mergeCell ref="L100:L102"/>
    <mergeCell ref="M100:M102"/>
    <mergeCell ref="O100:O102"/>
    <mergeCell ref="P100:P102"/>
    <mergeCell ref="Q100:Q102"/>
    <mergeCell ref="F94:F96"/>
    <mergeCell ref="K97:K99"/>
    <mergeCell ref="L97:L99"/>
    <mergeCell ref="N97:N99"/>
    <mergeCell ref="M97:M99"/>
    <mergeCell ref="L94:L96"/>
    <mergeCell ref="M94:M96"/>
    <mergeCell ref="B100:B102"/>
    <mergeCell ref="C100:C102"/>
    <mergeCell ref="D100:D102"/>
    <mergeCell ref="E100:E102"/>
    <mergeCell ref="F100:F102"/>
    <mergeCell ref="G100:G102"/>
    <mergeCell ref="H100:H102"/>
    <mergeCell ref="I100:I102"/>
    <mergeCell ref="J100:J102"/>
    <mergeCell ref="K100:K102"/>
    <mergeCell ref="B91:B93"/>
    <mergeCell ref="K91:K93"/>
    <mergeCell ref="J91:J93"/>
    <mergeCell ref="I91:I93"/>
    <mergeCell ref="H91:H93"/>
    <mergeCell ref="G91:G93"/>
    <mergeCell ref="O94:O96"/>
    <mergeCell ref="P94:P96"/>
    <mergeCell ref="Q94:Q96"/>
    <mergeCell ref="G94:G96"/>
    <mergeCell ref="H94:H96"/>
    <mergeCell ref="I94:I96"/>
    <mergeCell ref="J94:J96"/>
    <mergeCell ref="K94:K96"/>
    <mergeCell ref="F91:F93"/>
    <mergeCell ref="Q91:Q93"/>
    <mergeCell ref="P91:P93"/>
    <mergeCell ref="O91:O93"/>
    <mergeCell ref="M91:M93"/>
    <mergeCell ref="L91:L93"/>
    <mergeCell ref="B94:B96"/>
    <mergeCell ref="C94:C96"/>
    <mergeCell ref="D94:D96"/>
    <mergeCell ref="E94:E96"/>
    <mergeCell ref="Q88:Q90"/>
    <mergeCell ref="G88:G90"/>
    <mergeCell ref="H88:H90"/>
    <mergeCell ref="I88:I90"/>
    <mergeCell ref="J88:J90"/>
    <mergeCell ref="K88:K90"/>
    <mergeCell ref="E91:E93"/>
    <mergeCell ref="D91:D93"/>
    <mergeCell ref="C91:C93"/>
    <mergeCell ref="B88:B90"/>
    <mergeCell ref="C88:C90"/>
    <mergeCell ref="D88:D90"/>
    <mergeCell ref="E88:E90"/>
    <mergeCell ref="F88:F90"/>
    <mergeCell ref="L85:L87"/>
    <mergeCell ref="M85:M87"/>
    <mergeCell ref="O85:O87"/>
    <mergeCell ref="P85:P87"/>
    <mergeCell ref="L88:L90"/>
    <mergeCell ref="M88:M90"/>
    <mergeCell ref="O88:O90"/>
    <mergeCell ref="P88:P90"/>
    <mergeCell ref="Q85:Q87"/>
    <mergeCell ref="G85:G87"/>
    <mergeCell ref="H85:H87"/>
    <mergeCell ref="I85:I87"/>
    <mergeCell ref="J85:J87"/>
    <mergeCell ref="K85:K87"/>
    <mergeCell ref="B85:B87"/>
    <mergeCell ref="C85:C87"/>
    <mergeCell ref="D85:D87"/>
    <mergeCell ref="E85:E87"/>
    <mergeCell ref="F85:F87"/>
    <mergeCell ref="F79:F81"/>
    <mergeCell ref="E79:E81"/>
    <mergeCell ref="D79:D81"/>
    <mergeCell ref="C79:C81"/>
    <mergeCell ref="B79:B81"/>
    <mergeCell ref="B82:B84"/>
    <mergeCell ref="C82:C84"/>
    <mergeCell ref="D82:D84"/>
    <mergeCell ref="E82:E84"/>
    <mergeCell ref="F82:F84"/>
    <mergeCell ref="P76:P78"/>
    <mergeCell ref="Q76:Q78"/>
    <mergeCell ref="G76:G78"/>
    <mergeCell ref="H76:H78"/>
    <mergeCell ref="I76:I78"/>
    <mergeCell ref="J76:J78"/>
    <mergeCell ref="K76:K78"/>
    <mergeCell ref="K79:K81"/>
    <mergeCell ref="J79:J81"/>
    <mergeCell ref="I79:I81"/>
    <mergeCell ref="H79:H81"/>
    <mergeCell ref="G79:G81"/>
    <mergeCell ref="Q79:Q81"/>
    <mergeCell ref="P79:P81"/>
    <mergeCell ref="O79:O81"/>
    <mergeCell ref="M79:M81"/>
    <mergeCell ref="L79:L81"/>
    <mergeCell ref="B76:B78"/>
    <mergeCell ref="C76:C78"/>
    <mergeCell ref="D76:D78"/>
    <mergeCell ref="E76:E78"/>
    <mergeCell ref="F76:F78"/>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Q73:Q75"/>
    <mergeCell ref="L76:L78"/>
    <mergeCell ref="M76:M78"/>
    <mergeCell ref="O76:O78"/>
    <mergeCell ref="P64:P66"/>
    <mergeCell ref="Q64:Q66"/>
    <mergeCell ref="B70:B72"/>
    <mergeCell ref="C70:C72"/>
    <mergeCell ref="D70:D72"/>
    <mergeCell ref="E70:E72"/>
    <mergeCell ref="F70:F72"/>
    <mergeCell ref="G70:G72"/>
    <mergeCell ref="H70:H72"/>
    <mergeCell ref="I70:I72"/>
    <mergeCell ref="J70:J72"/>
    <mergeCell ref="K70:K72"/>
    <mergeCell ref="L70:L72"/>
    <mergeCell ref="M70:M72"/>
    <mergeCell ref="O70:O72"/>
    <mergeCell ref="P70:P72"/>
    <mergeCell ref="I64:I66"/>
    <mergeCell ref="J64:J66"/>
    <mergeCell ref="K64:K66"/>
    <mergeCell ref="L64:L66"/>
    <mergeCell ref="M64:M66"/>
    <mergeCell ref="D64:D66"/>
    <mergeCell ref="E64:E66"/>
    <mergeCell ref="F64:F66"/>
    <mergeCell ref="K58:K60"/>
    <mergeCell ref="L58:L60"/>
    <mergeCell ref="M58:M60"/>
    <mergeCell ref="D58:D60"/>
    <mergeCell ref="E58:E60"/>
    <mergeCell ref="F58:F60"/>
    <mergeCell ref="G58:G60"/>
    <mergeCell ref="H58:H60"/>
    <mergeCell ref="G64:G66"/>
    <mergeCell ref="H64:H66"/>
    <mergeCell ref="I61:I63"/>
    <mergeCell ref="J61:J63"/>
    <mergeCell ref="K61:K63"/>
    <mergeCell ref="L61:L63"/>
    <mergeCell ref="M61:M63"/>
    <mergeCell ref="D61:D63"/>
    <mergeCell ref="E61:E63"/>
    <mergeCell ref="F61:F63"/>
    <mergeCell ref="G61:G63"/>
    <mergeCell ref="H61:H63"/>
    <mergeCell ref="A64:A66"/>
    <mergeCell ref="A61:A63"/>
    <mergeCell ref="A58:A60"/>
    <mergeCell ref="B58:B60"/>
    <mergeCell ref="C58:C60"/>
    <mergeCell ref="B61:B63"/>
    <mergeCell ref="C61:C63"/>
    <mergeCell ref="B64:B66"/>
    <mergeCell ref="C64:C66"/>
    <mergeCell ref="A85:A87"/>
    <mergeCell ref="A79:A81"/>
    <mergeCell ref="A76:A78"/>
    <mergeCell ref="A73:A75"/>
    <mergeCell ref="A70:A72"/>
    <mergeCell ref="A100:A102"/>
    <mergeCell ref="A94:A96"/>
    <mergeCell ref="A91:A93"/>
    <mergeCell ref="A88:A90"/>
    <mergeCell ref="A82:A84"/>
    <mergeCell ref="A97:A99"/>
    <mergeCell ref="M121:M123"/>
    <mergeCell ref="O121:O123"/>
    <mergeCell ref="P121:P123"/>
    <mergeCell ref="Q121:Q123"/>
    <mergeCell ref="A103:A105"/>
    <mergeCell ref="B103:B105"/>
    <mergeCell ref="C103:C105"/>
    <mergeCell ref="D103:D105"/>
    <mergeCell ref="E103:E105"/>
    <mergeCell ref="F103:F105"/>
    <mergeCell ref="G103:G105"/>
    <mergeCell ref="H103:H105"/>
    <mergeCell ref="I103:I105"/>
    <mergeCell ref="J103:J105"/>
    <mergeCell ref="K103:K105"/>
    <mergeCell ref="L103:L105"/>
    <mergeCell ref="H121:H123"/>
    <mergeCell ref="I121:I123"/>
    <mergeCell ref="J121:J123"/>
    <mergeCell ref="K121:K123"/>
    <mergeCell ref="L121:L123"/>
    <mergeCell ref="A121:A123"/>
    <mergeCell ref="B121:B123"/>
    <mergeCell ref="C121:C123"/>
    <mergeCell ref="D121:D123"/>
    <mergeCell ref="E121:E123"/>
    <mergeCell ref="F121:F123"/>
    <mergeCell ref="G121:G123"/>
    <mergeCell ref="A115:A117"/>
    <mergeCell ref="B115:B117"/>
    <mergeCell ref="C115:C117"/>
    <mergeCell ref="D115:D117"/>
    <mergeCell ref="E115:E117"/>
    <mergeCell ref="F115:F117"/>
    <mergeCell ref="G115:G117"/>
    <mergeCell ref="F118:F120"/>
    <mergeCell ref="G118:G120"/>
    <mergeCell ref="A118:A120"/>
    <mergeCell ref="B118:B120"/>
    <mergeCell ref="C118:C120"/>
    <mergeCell ref="D118:D120"/>
    <mergeCell ref="E118:E120"/>
    <mergeCell ref="C112:C114"/>
    <mergeCell ref="B112:B114"/>
    <mergeCell ref="A112:A114"/>
    <mergeCell ref="A109:A111"/>
    <mergeCell ref="B109:B111"/>
    <mergeCell ref="C109:C111"/>
    <mergeCell ref="H112:H114"/>
    <mergeCell ref="G112:G114"/>
    <mergeCell ref="F112:F114"/>
    <mergeCell ref="E112:E114"/>
    <mergeCell ref="D112:D114"/>
    <mergeCell ref="D109:D111"/>
    <mergeCell ref="E109:E111"/>
    <mergeCell ref="F109:F111"/>
    <mergeCell ref="G109:G111"/>
    <mergeCell ref="H109:H111"/>
    <mergeCell ref="J112:J114"/>
    <mergeCell ref="I112:I114"/>
    <mergeCell ref="O55:O57"/>
    <mergeCell ref="P55:P57"/>
    <mergeCell ref="Q55:Q57"/>
    <mergeCell ref="O58:O60"/>
    <mergeCell ref="P58:P60"/>
    <mergeCell ref="Q58:Q60"/>
    <mergeCell ref="O61:O63"/>
    <mergeCell ref="P61:P63"/>
    <mergeCell ref="Q61:Q63"/>
    <mergeCell ref="O64:O66"/>
    <mergeCell ref="I55:I57"/>
    <mergeCell ref="J55:J57"/>
    <mergeCell ref="K55:K57"/>
    <mergeCell ref="L55:L57"/>
    <mergeCell ref="M55:M57"/>
    <mergeCell ref="I109:I111"/>
    <mergeCell ref="J109:J111"/>
    <mergeCell ref="K109:K111"/>
    <mergeCell ref="L109:L111"/>
    <mergeCell ref="M109:M111"/>
    <mergeCell ref="I58:I60"/>
    <mergeCell ref="J58:J60"/>
    <mergeCell ref="C52:C54"/>
    <mergeCell ref="B52:B54"/>
    <mergeCell ref="A52:A54"/>
    <mergeCell ref="A55:A57"/>
    <mergeCell ref="B55:B57"/>
    <mergeCell ref="C55:C57"/>
    <mergeCell ref="H52:H54"/>
    <mergeCell ref="G52:G54"/>
    <mergeCell ref="F52:F54"/>
    <mergeCell ref="E52:E54"/>
    <mergeCell ref="D52:D54"/>
    <mergeCell ref="I52:I54"/>
    <mergeCell ref="P49:P51"/>
    <mergeCell ref="Q49:Q51"/>
    <mergeCell ref="Q52:Q54"/>
    <mergeCell ref="P52:P54"/>
    <mergeCell ref="O52:O54"/>
    <mergeCell ref="D55:D57"/>
    <mergeCell ref="E55:E57"/>
    <mergeCell ref="F55:F57"/>
    <mergeCell ref="G55:G57"/>
    <mergeCell ref="H55:H57"/>
    <mergeCell ref="J49:J51"/>
    <mergeCell ref="K49:K51"/>
    <mergeCell ref="L49:L51"/>
    <mergeCell ref="M49:M51"/>
    <mergeCell ref="O49:O51"/>
    <mergeCell ref="M52:M54"/>
    <mergeCell ref="L52:L54"/>
    <mergeCell ref="K52:K54"/>
    <mergeCell ref="J52:J54"/>
    <mergeCell ref="J46:J48"/>
    <mergeCell ref="K46:K48"/>
    <mergeCell ref="L46:L48"/>
    <mergeCell ref="M46:M48"/>
    <mergeCell ref="O46:O48"/>
    <mergeCell ref="P46:P48"/>
    <mergeCell ref="Q46:Q48"/>
    <mergeCell ref="A43:A45"/>
    <mergeCell ref="A49:A51"/>
    <mergeCell ref="B49:B51"/>
    <mergeCell ref="C49:C51"/>
    <mergeCell ref="D49:D51"/>
    <mergeCell ref="E49:E51"/>
    <mergeCell ref="F49:F51"/>
    <mergeCell ref="G49:G51"/>
    <mergeCell ref="H49:H51"/>
    <mergeCell ref="I49:I51"/>
    <mergeCell ref="B46:B48"/>
    <mergeCell ref="A46:A48"/>
    <mergeCell ref="C46:C48"/>
    <mergeCell ref="D46:D48"/>
    <mergeCell ref="E46:E48"/>
    <mergeCell ref="F46:F48"/>
    <mergeCell ref="G46:G48"/>
    <mergeCell ref="H46:H48"/>
    <mergeCell ref="I46:I48"/>
    <mergeCell ref="B43:B45"/>
    <mergeCell ref="C43:C45"/>
    <mergeCell ref="D43:D45"/>
    <mergeCell ref="E43:E45"/>
    <mergeCell ref="F43:F45"/>
    <mergeCell ref="G43:G45"/>
    <mergeCell ref="H43:H45"/>
    <mergeCell ref="I43:I45"/>
    <mergeCell ref="J40:J42"/>
    <mergeCell ref="K40:K42"/>
    <mergeCell ref="L40:L42"/>
    <mergeCell ref="M40:M42"/>
    <mergeCell ref="O40:O42"/>
    <mergeCell ref="P40:P42"/>
    <mergeCell ref="Q40:Q42"/>
    <mergeCell ref="J43:J45"/>
    <mergeCell ref="K43:K45"/>
    <mergeCell ref="L43:L45"/>
    <mergeCell ref="M43:M45"/>
    <mergeCell ref="O43:O45"/>
    <mergeCell ref="P43:P45"/>
    <mergeCell ref="Q43:Q45"/>
    <mergeCell ref="A40:A42"/>
    <mergeCell ref="B40:B42"/>
    <mergeCell ref="C40:C42"/>
    <mergeCell ref="D40:D42"/>
    <mergeCell ref="E40:E42"/>
    <mergeCell ref="F40:F42"/>
    <mergeCell ref="G40:G42"/>
    <mergeCell ref="H40:H42"/>
    <mergeCell ref="I40:I42"/>
    <mergeCell ref="Q37:Q39"/>
    <mergeCell ref="K37:K39"/>
    <mergeCell ref="L37:L39"/>
    <mergeCell ref="M37:M39"/>
    <mergeCell ref="O37:O39"/>
    <mergeCell ref="P37:P39"/>
    <mergeCell ref="F37:F39"/>
    <mergeCell ref="G37:G39"/>
    <mergeCell ref="H37:H39"/>
    <mergeCell ref="I37:I39"/>
    <mergeCell ref="J37:J39"/>
    <mergeCell ref="A37:A39"/>
    <mergeCell ref="B37:B39"/>
    <mergeCell ref="C37:C39"/>
    <mergeCell ref="D37:D39"/>
    <mergeCell ref="E37:E39"/>
    <mergeCell ref="G34:G36"/>
    <mergeCell ref="F34:F36"/>
    <mergeCell ref="E34:E36"/>
    <mergeCell ref="D34:D36"/>
    <mergeCell ref="C34:C36"/>
    <mergeCell ref="Q31:Q33"/>
    <mergeCell ref="Q34:Q36"/>
    <mergeCell ref="P34:P36"/>
    <mergeCell ref="O34:O36"/>
    <mergeCell ref="M34:M36"/>
    <mergeCell ref="K31:K33"/>
    <mergeCell ref="L31:L33"/>
    <mergeCell ref="M31:M33"/>
    <mergeCell ref="O31:O33"/>
    <mergeCell ref="P31:P33"/>
    <mergeCell ref="J31:J33"/>
    <mergeCell ref="A34:A36"/>
    <mergeCell ref="B34:B36"/>
    <mergeCell ref="C31:C33"/>
    <mergeCell ref="D31:D33"/>
    <mergeCell ref="E31:E33"/>
    <mergeCell ref="L34:L36"/>
    <mergeCell ref="K34:K36"/>
    <mergeCell ref="J34:J36"/>
    <mergeCell ref="I34:I36"/>
    <mergeCell ref="H34:H36"/>
    <mergeCell ref="A31:A33"/>
    <mergeCell ref="B31:B33"/>
    <mergeCell ref="G28:G30"/>
    <mergeCell ref="F28:F30"/>
    <mergeCell ref="E28:E30"/>
    <mergeCell ref="D28:D30"/>
    <mergeCell ref="F31:F33"/>
    <mergeCell ref="G31:G33"/>
    <mergeCell ref="H31:H33"/>
    <mergeCell ref="I28:I30"/>
    <mergeCell ref="I31:I33"/>
    <mergeCell ref="Q25:Q27"/>
    <mergeCell ref="P28:P30"/>
    <mergeCell ref="O28:O30"/>
    <mergeCell ref="Q28:Q30"/>
    <mergeCell ref="C28:C30"/>
    <mergeCell ref="B28:B30"/>
    <mergeCell ref="A28:A30"/>
    <mergeCell ref="J25:J27"/>
    <mergeCell ref="K25:K27"/>
    <mergeCell ref="L25:L27"/>
    <mergeCell ref="M25:M27"/>
    <mergeCell ref="O25:O27"/>
    <mergeCell ref="M28:M30"/>
    <mergeCell ref="L28:L30"/>
    <mergeCell ref="K28:K30"/>
    <mergeCell ref="J28:J30"/>
    <mergeCell ref="A25:A27"/>
    <mergeCell ref="B25:B27"/>
    <mergeCell ref="C25:C27"/>
    <mergeCell ref="D25:D27"/>
    <mergeCell ref="E25:E27"/>
    <mergeCell ref="F25:F27"/>
    <mergeCell ref="G25:G27"/>
    <mergeCell ref="H28:H30"/>
    <mergeCell ref="H25:H27"/>
    <mergeCell ref="I25:I27"/>
    <mergeCell ref="I19:I21"/>
    <mergeCell ref="J19:J21"/>
    <mergeCell ref="K19:K21"/>
    <mergeCell ref="L19:L21"/>
    <mergeCell ref="M19:M21"/>
    <mergeCell ref="O19:O21"/>
    <mergeCell ref="P19:P21"/>
    <mergeCell ref="P25:P27"/>
    <mergeCell ref="H19:H21"/>
    <mergeCell ref="Q19:Q21"/>
    <mergeCell ref="A22:A24"/>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19:A21"/>
    <mergeCell ref="B19:B21"/>
    <mergeCell ref="C19:C21"/>
    <mergeCell ref="D19:D21"/>
    <mergeCell ref="E19:E21"/>
    <mergeCell ref="F19:F21"/>
    <mergeCell ref="G19:G21"/>
    <mergeCell ref="B16:B18"/>
    <mergeCell ref="C16:C18"/>
    <mergeCell ref="D16:D18"/>
    <mergeCell ref="E16:E18"/>
    <mergeCell ref="F16:F18"/>
    <mergeCell ref="G16:G18"/>
    <mergeCell ref="H16:H18"/>
    <mergeCell ref="K16:K18"/>
    <mergeCell ref="L16:L18"/>
    <mergeCell ref="I16:I18"/>
    <mergeCell ref="M16:M18"/>
    <mergeCell ref="O16:O18"/>
    <mergeCell ref="P16:P18"/>
    <mergeCell ref="Q16:Q18"/>
    <mergeCell ref="J16:J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I7:I9"/>
    <mergeCell ref="J7:J9"/>
    <mergeCell ref="A7:A9"/>
    <mergeCell ref="B7:B9"/>
    <mergeCell ref="C7:C9"/>
    <mergeCell ref="D7:D9"/>
    <mergeCell ref="E151:AM151"/>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Q82:Q84"/>
    <mergeCell ref="G82:G84"/>
    <mergeCell ref="H82:H84"/>
    <mergeCell ref="I82:I84"/>
    <mergeCell ref="J82:J84"/>
    <mergeCell ref="K82:K84"/>
    <mergeCell ref="L82:L84"/>
    <mergeCell ref="M82:M84"/>
    <mergeCell ref="O82:O84"/>
    <mergeCell ref="P82:P84"/>
    <mergeCell ref="J67:J69"/>
    <mergeCell ref="K67:K69"/>
    <mergeCell ref="L67:L69"/>
    <mergeCell ref="M67:M69"/>
    <mergeCell ref="O67:O69"/>
    <mergeCell ref="P67:P69"/>
    <mergeCell ref="Q67:Q69"/>
    <mergeCell ref="A67:A69"/>
    <mergeCell ref="B67:B69"/>
    <mergeCell ref="C67:C69"/>
    <mergeCell ref="D67:D69"/>
    <mergeCell ref="E67:E69"/>
    <mergeCell ref="F67:F69"/>
    <mergeCell ref="G67:G69"/>
    <mergeCell ref="H67:H69"/>
    <mergeCell ref="I67:I69"/>
  </mergeCells>
  <conditionalFormatting sqref="K7 AB7:AB15">
    <cfRule type="cellIs" dxfId="2592" priority="3309" operator="equal">
      <formula>"Muy Alta"</formula>
    </cfRule>
    <cfRule type="cellIs" dxfId="2591" priority="3310" operator="equal">
      <formula>"Alta"</formula>
    </cfRule>
    <cfRule type="cellIs" dxfId="2590" priority="3311" operator="equal">
      <formula>"Media"</formula>
    </cfRule>
    <cfRule type="cellIs" dxfId="2589" priority="3312" operator="equal">
      <formula>"Baja"</formula>
    </cfRule>
    <cfRule type="cellIs" dxfId="2588" priority="3313" operator="equal">
      <formula>"Muy Baja"</formula>
    </cfRule>
  </conditionalFormatting>
  <conditionalFormatting sqref="Q7 AF7:AF15">
    <cfRule type="cellIs" dxfId="2587" priority="3300" operator="equal">
      <formula>"Extremo"</formula>
    </cfRule>
    <cfRule type="cellIs" dxfId="2586" priority="3301" operator="equal">
      <formula>"Alto"</formula>
    </cfRule>
    <cfRule type="cellIs" dxfId="2585" priority="3302" operator="equal">
      <formula>"Moderado"</formula>
    </cfRule>
    <cfRule type="cellIs" dxfId="2584" priority="3303" operator="equal">
      <formula>"Bajo"</formula>
    </cfRule>
  </conditionalFormatting>
  <conditionalFormatting sqref="AB46 AB52 AB55 AB58 AB61 AB64 AB76 AB79 AB85 AB88 AB94:AB95 AB103 AB16 AB19">
    <cfRule type="cellIs" dxfId="2583" priority="3295" operator="equal">
      <formula>"Muy Alta"</formula>
    </cfRule>
    <cfRule type="cellIs" dxfId="2582" priority="3296" operator="equal">
      <formula>"Alta"</formula>
    </cfRule>
    <cfRule type="cellIs" dxfId="2581" priority="3297" operator="equal">
      <formula>"Media"</formula>
    </cfRule>
    <cfRule type="cellIs" dxfId="2580" priority="3298" operator="equal">
      <formula>"Baja"</formula>
    </cfRule>
    <cfRule type="cellIs" dxfId="2579" priority="3299" operator="equal">
      <formula>"Muy Baja"</formula>
    </cfRule>
  </conditionalFormatting>
  <conditionalFormatting sqref="AD46 AD52 AD55 AD58 AD61 AD64 AD76 AD79 AD85 AD88 AD94:AD95 AD103 AD19 AD7:AD16">
    <cfRule type="cellIs" dxfId="2578" priority="3290" operator="equal">
      <formula>"Catastrófico"</formula>
    </cfRule>
    <cfRule type="cellIs" dxfId="2577" priority="3291" operator="equal">
      <formula>"Mayor"</formula>
    </cfRule>
    <cfRule type="cellIs" dxfId="2576" priority="3292" operator="equal">
      <formula>"Moderado"</formula>
    </cfRule>
    <cfRule type="cellIs" dxfId="2575" priority="3293" operator="equal">
      <formula>"Menor"</formula>
    </cfRule>
    <cfRule type="cellIs" dxfId="2574" priority="3294" operator="equal">
      <formula>"Leve"</formula>
    </cfRule>
  </conditionalFormatting>
  <conditionalFormatting sqref="AF46 AF52 AF55 AF58 AF61 AF64 AF76 AF79 AF85 AF88 AF94:AF95 AF103 AF16 AF19">
    <cfRule type="cellIs" dxfId="2573" priority="3286" operator="equal">
      <formula>"Extremo"</formula>
    </cfRule>
    <cfRule type="cellIs" dxfId="2572" priority="3287" operator="equal">
      <formula>"Alto"</formula>
    </cfRule>
    <cfRule type="cellIs" dxfId="2571" priority="3288" operator="equal">
      <formula>"Moderado"</formula>
    </cfRule>
    <cfRule type="cellIs" dxfId="2570" priority="3289" operator="equal">
      <formula>"Bajo"</formula>
    </cfRule>
  </conditionalFormatting>
  <conditionalFormatting sqref="K94:K95">
    <cfRule type="cellIs" dxfId="2569" priority="1423" operator="equal">
      <formula>"Muy Alta"</formula>
    </cfRule>
    <cfRule type="cellIs" dxfId="2568" priority="1424" operator="equal">
      <formula>"Alta"</formula>
    </cfRule>
    <cfRule type="cellIs" dxfId="2567" priority="1425" operator="equal">
      <formula>"Media"</formula>
    </cfRule>
    <cfRule type="cellIs" dxfId="2566" priority="1426" operator="equal">
      <formula>"Baja"</formula>
    </cfRule>
    <cfRule type="cellIs" dxfId="2565" priority="1427" operator="equal">
      <formula>"Muy Baja"</formula>
    </cfRule>
  </conditionalFormatting>
  <conditionalFormatting sqref="K79">
    <cfRule type="cellIs" dxfId="2564" priority="1483" operator="equal">
      <formula>"Muy Alta"</formula>
    </cfRule>
    <cfRule type="cellIs" dxfId="2563" priority="1484" operator="equal">
      <formula>"Alta"</formula>
    </cfRule>
    <cfRule type="cellIs" dxfId="2562" priority="1485" operator="equal">
      <formula>"Media"</formula>
    </cfRule>
    <cfRule type="cellIs" dxfId="2561" priority="1486" operator="equal">
      <formula>"Baja"</formula>
    </cfRule>
    <cfRule type="cellIs" dxfId="2560" priority="1487" operator="equal">
      <formula>"Muy Baja"</formula>
    </cfRule>
  </conditionalFormatting>
  <conditionalFormatting sqref="N7:N9">
    <cfRule type="containsText" dxfId="2559" priority="2991" operator="containsText" text="❌">
      <formula>NOT(ISERROR(SEARCH("❌",N7)))</formula>
    </cfRule>
  </conditionalFormatting>
  <conditionalFormatting sqref="AD49">
    <cfRule type="cellIs" dxfId="2558" priority="2469" operator="equal">
      <formula>"Catastrófico"</formula>
    </cfRule>
    <cfRule type="cellIs" dxfId="2557" priority="2470" operator="equal">
      <formula>"Mayor"</formula>
    </cfRule>
    <cfRule type="cellIs" dxfId="2556" priority="2471" operator="equal">
      <formula>"Moderado"</formula>
    </cfRule>
    <cfRule type="cellIs" dxfId="2555" priority="2472" operator="equal">
      <formula>"Menor"</formula>
    </cfRule>
    <cfRule type="cellIs" dxfId="2554" priority="2473" operator="equal">
      <formula>"Leve"</formula>
    </cfRule>
  </conditionalFormatting>
  <conditionalFormatting sqref="AF49">
    <cfRule type="cellIs" dxfId="2553" priority="2465" operator="equal">
      <formula>"Extremo"</formula>
    </cfRule>
    <cfRule type="cellIs" dxfId="2552" priority="2466" operator="equal">
      <formula>"Alto"</formula>
    </cfRule>
    <cfRule type="cellIs" dxfId="2551" priority="2467" operator="equal">
      <formula>"Moderado"</formula>
    </cfRule>
    <cfRule type="cellIs" dxfId="2550" priority="2468" operator="equal">
      <formula>"Bajo"</formula>
    </cfRule>
  </conditionalFormatting>
  <conditionalFormatting sqref="AF47">
    <cfRule type="cellIs" dxfId="2549" priority="2479" operator="equal">
      <formula>"Extremo"</formula>
    </cfRule>
    <cfRule type="cellIs" dxfId="2548" priority="2480" operator="equal">
      <formula>"Alto"</formula>
    </cfRule>
    <cfRule type="cellIs" dxfId="2547" priority="2481" operator="equal">
      <formula>"Moderado"</formula>
    </cfRule>
    <cfRule type="cellIs" dxfId="2546" priority="2482" operator="equal">
      <formula>"Bajo"</formula>
    </cfRule>
  </conditionalFormatting>
  <conditionalFormatting sqref="AB20">
    <cfRule type="cellIs" dxfId="2545" priority="2894" operator="equal">
      <formula>"Muy Alta"</formula>
    </cfRule>
    <cfRule type="cellIs" dxfId="2544" priority="2895" operator="equal">
      <formula>"Alta"</formula>
    </cfRule>
    <cfRule type="cellIs" dxfId="2543" priority="2896" operator="equal">
      <formula>"Media"</formula>
    </cfRule>
    <cfRule type="cellIs" dxfId="2542" priority="2897" operator="equal">
      <formula>"Baja"</formula>
    </cfRule>
    <cfRule type="cellIs" dxfId="2541" priority="2898" operator="equal">
      <formula>"Muy Baja"</formula>
    </cfRule>
  </conditionalFormatting>
  <conditionalFormatting sqref="AD20">
    <cfRule type="cellIs" dxfId="2540" priority="2889" operator="equal">
      <formula>"Catastrófico"</formula>
    </cfRule>
    <cfRule type="cellIs" dxfId="2539" priority="2890" operator="equal">
      <formula>"Mayor"</formula>
    </cfRule>
    <cfRule type="cellIs" dxfId="2538" priority="2891" operator="equal">
      <formula>"Moderado"</formula>
    </cfRule>
    <cfRule type="cellIs" dxfId="2537" priority="2892" operator="equal">
      <formula>"Menor"</formula>
    </cfRule>
    <cfRule type="cellIs" dxfId="2536" priority="2893" operator="equal">
      <formula>"Leve"</formula>
    </cfRule>
  </conditionalFormatting>
  <conditionalFormatting sqref="AF20">
    <cfRule type="cellIs" dxfId="2535" priority="2885" operator="equal">
      <formula>"Extremo"</formula>
    </cfRule>
    <cfRule type="cellIs" dxfId="2534" priority="2886" operator="equal">
      <formula>"Alto"</formula>
    </cfRule>
    <cfRule type="cellIs" dxfId="2533" priority="2887" operator="equal">
      <formula>"Moderado"</formula>
    </cfRule>
    <cfRule type="cellIs" dxfId="2532" priority="2888" operator="equal">
      <formula>"Bajo"</formula>
    </cfRule>
  </conditionalFormatting>
  <conditionalFormatting sqref="AB21">
    <cfRule type="cellIs" dxfId="2531" priority="2880" operator="equal">
      <formula>"Muy Alta"</formula>
    </cfRule>
    <cfRule type="cellIs" dxfId="2530" priority="2881" operator="equal">
      <formula>"Alta"</formula>
    </cfRule>
    <cfRule type="cellIs" dxfId="2529" priority="2882" operator="equal">
      <formula>"Media"</formula>
    </cfRule>
    <cfRule type="cellIs" dxfId="2528" priority="2883" operator="equal">
      <formula>"Baja"</formula>
    </cfRule>
    <cfRule type="cellIs" dxfId="2527" priority="2884" operator="equal">
      <formula>"Muy Baja"</formula>
    </cfRule>
  </conditionalFormatting>
  <conditionalFormatting sqref="AD21">
    <cfRule type="cellIs" dxfId="2526" priority="2875" operator="equal">
      <formula>"Catastrófico"</formula>
    </cfRule>
    <cfRule type="cellIs" dxfId="2525" priority="2876" operator="equal">
      <formula>"Mayor"</formula>
    </cfRule>
    <cfRule type="cellIs" dxfId="2524" priority="2877" operator="equal">
      <formula>"Moderado"</formula>
    </cfRule>
    <cfRule type="cellIs" dxfId="2523" priority="2878" operator="equal">
      <formula>"Menor"</formula>
    </cfRule>
    <cfRule type="cellIs" dxfId="2522" priority="2879" operator="equal">
      <formula>"Leve"</formula>
    </cfRule>
  </conditionalFormatting>
  <conditionalFormatting sqref="AF21">
    <cfRule type="cellIs" dxfId="2521" priority="2871" operator="equal">
      <formula>"Extremo"</formula>
    </cfRule>
    <cfRule type="cellIs" dxfId="2520" priority="2872" operator="equal">
      <formula>"Alto"</formula>
    </cfRule>
    <cfRule type="cellIs" dxfId="2519" priority="2873" operator="equal">
      <formula>"Moderado"</formula>
    </cfRule>
    <cfRule type="cellIs" dxfId="2518" priority="2874" operator="equal">
      <formula>"Bajo"</formula>
    </cfRule>
  </conditionalFormatting>
  <conditionalFormatting sqref="AB22">
    <cfRule type="cellIs" dxfId="2517" priority="2866" operator="equal">
      <formula>"Muy Alta"</formula>
    </cfRule>
    <cfRule type="cellIs" dxfId="2516" priority="2867" operator="equal">
      <formula>"Alta"</formula>
    </cfRule>
    <cfRule type="cellIs" dxfId="2515" priority="2868" operator="equal">
      <formula>"Media"</formula>
    </cfRule>
    <cfRule type="cellIs" dxfId="2514" priority="2869" operator="equal">
      <formula>"Baja"</formula>
    </cfRule>
    <cfRule type="cellIs" dxfId="2513" priority="2870" operator="equal">
      <formula>"Muy Baja"</formula>
    </cfRule>
  </conditionalFormatting>
  <conditionalFormatting sqref="AD22">
    <cfRule type="cellIs" dxfId="2512" priority="2861" operator="equal">
      <formula>"Catastrófico"</formula>
    </cfRule>
    <cfRule type="cellIs" dxfId="2511" priority="2862" operator="equal">
      <formula>"Mayor"</formula>
    </cfRule>
    <cfRule type="cellIs" dxfId="2510" priority="2863" operator="equal">
      <formula>"Moderado"</formula>
    </cfRule>
    <cfRule type="cellIs" dxfId="2509" priority="2864" operator="equal">
      <formula>"Menor"</formula>
    </cfRule>
    <cfRule type="cellIs" dxfId="2508" priority="2865" operator="equal">
      <formula>"Leve"</formula>
    </cfRule>
  </conditionalFormatting>
  <conditionalFormatting sqref="AF22">
    <cfRule type="cellIs" dxfId="2507" priority="2857" operator="equal">
      <formula>"Extremo"</formula>
    </cfRule>
    <cfRule type="cellIs" dxfId="2506" priority="2858" operator="equal">
      <formula>"Alto"</formula>
    </cfRule>
    <cfRule type="cellIs" dxfId="2505" priority="2859" operator="equal">
      <formula>"Moderado"</formula>
    </cfRule>
    <cfRule type="cellIs" dxfId="2504" priority="2860" operator="equal">
      <formula>"Bajo"</formula>
    </cfRule>
  </conditionalFormatting>
  <conditionalFormatting sqref="AB23">
    <cfRule type="cellIs" dxfId="2503" priority="2852" operator="equal">
      <formula>"Muy Alta"</formula>
    </cfRule>
    <cfRule type="cellIs" dxfId="2502" priority="2853" operator="equal">
      <formula>"Alta"</formula>
    </cfRule>
    <cfRule type="cellIs" dxfId="2501" priority="2854" operator="equal">
      <formula>"Media"</formula>
    </cfRule>
    <cfRule type="cellIs" dxfId="2500" priority="2855" operator="equal">
      <formula>"Baja"</formula>
    </cfRule>
    <cfRule type="cellIs" dxfId="2499" priority="2856" operator="equal">
      <formula>"Muy Baja"</formula>
    </cfRule>
  </conditionalFormatting>
  <conditionalFormatting sqref="AD23">
    <cfRule type="cellIs" dxfId="2498" priority="2847" operator="equal">
      <formula>"Catastrófico"</formula>
    </cfRule>
    <cfRule type="cellIs" dxfId="2497" priority="2848" operator="equal">
      <formula>"Mayor"</formula>
    </cfRule>
    <cfRule type="cellIs" dxfId="2496" priority="2849" operator="equal">
      <formula>"Moderado"</formula>
    </cfRule>
    <cfRule type="cellIs" dxfId="2495" priority="2850" operator="equal">
      <formula>"Menor"</formula>
    </cfRule>
    <cfRule type="cellIs" dxfId="2494" priority="2851" operator="equal">
      <formula>"Leve"</formula>
    </cfRule>
  </conditionalFormatting>
  <conditionalFormatting sqref="AF23">
    <cfRule type="cellIs" dxfId="2493" priority="2843" operator="equal">
      <formula>"Extremo"</formula>
    </cfRule>
    <cfRule type="cellIs" dxfId="2492" priority="2844" operator="equal">
      <formula>"Alto"</formula>
    </cfRule>
    <cfRule type="cellIs" dxfId="2491" priority="2845" operator="equal">
      <formula>"Moderado"</formula>
    </cfRule>
    <cfRule type="cellIs" dxfId="2490" priority="2846" operator="equal">
      <formula>"Bajo"</formula>
    </cfRule>
  </conditionalFormatting>
  <conditionalFormatting sqref="AB24">
    <cfRule type="cellIs" dxfId="2489" priority="2838" operator="equal">
      <formula>"Muy Alta"</formula>
    </cfRule>
    <cfRule type="cellIs" dxfId="2488" priority="2839" operator="equal">
      <formula>"Alta"</formula>
    </cfRule>
    <cfRule type="cellIs" dxfId="2487" priority="2840" operator="equal">
      <formula>"Media"</formula>
    </cfRule>
    <cfRule type="cellIs" dxfId="2486" priority="2841" operator="equal">
      <formula>"Baja"</formula>
    </cfRule>
    <cfRule type="cellIs" dxfId="2485" priority="2842" operator="equal">
      <formula>"Muy Baja"</formula>
    </cfRule>
  </conditionalFormatting>
  <conditionalFormatting sqref="AD24">
    <cfRule type="cellIs" dxfId="2484" priority="2833" operator="equal">
      <formula>"Catastrófico"</formula>
    </cfRule>
    <cfRule type="cellIs" dxfId="2483" priority="2834" operator="equal">
      <formula>"Mayor"</formula>
    </cfRule>
    <cfRule type="cellIs" dxfId="2482" priority="2835" operator="equal">
      <formula>"Moderado"</formula>
    </cfRule>
    <cfRule type="cellIs" dxfId="2481" priority="2836" operator="equal">
      <formula>"Menor"</formula>
    </cfRule>
    <cfRule type="cellIs" dxfId="2480" priority="2837" operator="equal">
      <formula>"Leve"</formula>
    </cfRule>
  </conditionalFormatting>
  <conditionalFormatting sqref="AF24">
    <cfRule type="cellIs" dxfId="2479" priority="2829" operator="equal">
      <formula>"Extremo"</formula>
    </cfRule>
    <cfRule type="cellIs" dxfId="2478" priority="2830" operator="equal">
      <formula>"Alto"</formula>
    </cfRule>
    <cfRule type="cellIs" dxfId="2477" priority="2831" operator="equal">
      <formula>"Moderado"</formula>
    </cfRule>
    <cfRule type="cellIs" dxfId="2476" priority="2832" operator="equal">
      <formula>"Bajo"</formula>
    </cfRule>
  </conditionalFormatting>
  <conditionalFormatting sqref="AB25">
    <cfRule type="cellIs" dxfId="2475" priority="2824" operator="equal">
      <formula>"Muy Alta"</formula>
    </cfRule>
    <cfRule type="cellIs" dxfId="2474" priority="2825" operator="equal">
      <formula>"Alta"</formula>
    </cfRule>
    <cfRule type="cellIs" dxfId="2473" priority="2826" operator="equal">
      <formula>"Media"</formula>
    </cfRule>
    <cfRule type="cellIs" dxfId="2472" priority="2827" operator="equal">
      <formula>"Baja"</formula>
    </cfRule>
    <cfRule type="cellIs" dxfId="2471" priority="2828" operator="equal">
      <formula>"Muy Baja"</formula>
    </cfRule>
  </conditionalFormatting>
  <conditionalFormatting sqref="AD25">
    <cfRule type="cellIs" dxfId="2470" priority="2819" operator="equal">
      <formula>"Catastrófico"</formula>
    </cfRule>
    <cfRule type="cellIs" dxfId="2469" priority="2820" operator="equal">
      <formula>"Mayor"</formula>
    </cfRule>
    <cfRule type="cellIs" dxfId="2468" priority="2821" operator="equal">
      <formula>"Moderado"</formula>
    </cfRule>
    <cfRule type="cellIs" dxfId="2467" priority="2822" operator="equal">
      <formula>"Menor"</formula>
    </cfRule>
    <cfRule type="cellIs" dxfId="2466" priority="2823" operator="equal">
      <formula>"Leve"</formula>
    </cfRule>
  </conditionalFormatting>
  <conditionalFormatting sqref="AF25">
    <cfRule type="cellIs" dxfId="2465" priority="2815" operator="equal">
      <formula>"Extremo"</formula>
    </cfRule>
    <cfRule type="cellIs" dxfId="2464" priority="2816" operator="equal">
      <formula>"Alto"</formula>
    </cfRule>
    <cfRule type="cellIs" dxfId="2463" priority="2817" operator="equal">
      <formula>"Moderado"</formula>
    </cfRule>
    <cfRule type="cellIs" dxfId="2462" priority="2818" operator="equal">
      <formula>"Bajo"</formula>
    </cfRule>
  </conditionalFormatting>
  <conditionalFormatting sqref="AB26">
    <cfRule type="cellIs" dxfId="2461" priority="2810" operator="equal">
      <formula>"Muy Alta"</formula>
    </cfRule>
    <cfRule type="cellIs" dxfId="2460" priority="2811" operator="equal">
      <formula>"Alta"</formula>
    </cfRule>
    <cfRule type="cellIs" dxfId="2459" priority="2812" operator="equal">
      <formula>"Media"</formula>
    </cfRule>
    <cfRule type="cellIs" dxfId="2458" priority="2813" operator="equal">
      <formula>"Baja"</formula>
    </cfRule>
    <cfRule type="cellIs" dxfId="2457" priority="2814" operator="equal">
      <formula>"Muy Baja"</formula>
    </cfRule>
  </conditionalFormatting>
  <conditionalFormatting sqref="AD26">
    <cfRule type="cellIs" dxfId="2456" priority="2805" operator="equal">
      <formula>"Catastrófico"</formula>
    </cfRule>
    <cfRule type="cellIs" dxfId="2455" priority="2806" operator="equal">
      <formula>"Mayor"</formula>
    </cfRule>
    <cfRule type="cellIs" dxfId="2454" priority="2807" operator="equal">
      <formula>"Moderado"</formula>
    </cfRule>
    <cfRule type="cellIs" dxfId="2453" priority="2808" operator="equal">
      <formula>"Menor"</formula>
    </cfRule>
    <cfRule type="cellIs" dxfId="2452" priority="2809" operator="equal">
      <formula>"Leve"</formula>
    </cfRule>
  </conditionalFormatting>
  <conditionalFormatting sqref="AF26">
    <cfRule type="cellIs" dxfId="2451" priority="2801" operator="equal">
      <formula>"Extremo"</formula>
    </cfRule>
    <cfRule type="cellIs" dxfId="2450" priority="2802" operator="equal">
      <formula>"Alto"</formula>
    </cfRule>
    <cfRule type="cellIs" dxfId="2449" priority="2803" operator="equal">
      <formula>"Moderado"</formula>
    </cfRule>
    <cfRule type="cellIs" dxfId="2448" priority="2804" operator="equal">
      <formula>"Bajo"</formula>
    </cfRule>
  </conditionalFormatting>
  <conditionalFormatting sqref="AB27">
    <cfRule type="cellIs" dxfId="2447" priority="2796" operator="equal">
      <formula>"Muy Alta"</formula>
    </cfRule>
    <cfRule type="cellIs" dxfId="2446" priority="2797" operator="equal">
      <formula>"Alta"</formula>
    </cfRule>
    <cfRule type="cellIs" dxfId="2445" priority="2798" operator="equal">
      <formula>"Media"</formula>
    </cfRule>
    <cfRule type="cellIs" dxfId="2444" priority="2799" operator="equal">
      <formula>"Baja"</formula>
    </cfRule>
    <cfRule type="cellIs" dxfId="2443" priority="2800" operator="equal">
      <formula>"Muy Baja"</formula>
    </cfRule>
  </conditionalFormatting>
  <conditionalFormatting sqref="AD27">
    <cfRule type="cellIs" dxfId="2442" priority="2791" operator="equal">
      <formula>"Catastrófico"</formula>
    </cfRule>
    <cfRule type="cellIs" dxfId="2441" priority="2792" operator="equal">
      <formula>"Mayor"</formula>
    </cfRule>
    <cfRule type="cellIs" dxfId="2440" priority="2793" operator="equal">
      <formula>"Moderado"</formula>
    </cfRule>
    <cfRule type="cellIs" dxfId="2439" priority="2794" operator="equal">
      <formula>"Menor"</formula>
    </cfRule>
    <cfRule type="cellIs" dxfId="2438" priority="2795" operator="equal">
      <formula>"Leve"</formula>
    </cfRule>
  </conditionalFormatting>
  <conditionalFormatting sqref="AF27">
    <cfRule type="cellIs" dxfId="2437" priority="2787" operator="equal">
      <formula>"Extremo"</formula>
    </cfRule>
    <cfRule type="cellIs" dxfId="2436" priority="2788" operator="equal">
      <formula>"Alto"</formula>
    </cfRule>
    <cfRule type="cellIs" dxfId="2435" priority="2789" operator="equal">
      <formula>"Moderado"</formula>
    </cfRule>
    <cfRule type="cellIs" dxfId="2434" priority="2790" operator="equal">
      <formula>"Bajo"</formula>
    </cfRule>
  </conditionalFormatting>
  <conditionalFormatting sqref="AB28">
    <cfRule type="cellIs" dxfId="2433" priority="2782" operator="equal">
      <formula>"Muy Alta"</formula>
    </cfRule>
    <cfRule type="cellIs" dxfId="2432" priority="2783" operator="equal">
      <formula>"Alta"</formula>
    </cfRule>
    <cfRule type="cellIs" dxfId="2431" priority="2784" operator="equal">
      <formula>"Media"</formula>
    </cfRule>
    <cfRule type="cellIs" dxfId="2430" priority="2785" operator="equal">
      <formula>"Baja"</formula>
    </cfRule>
    <cfRule type="cellIs" dxfId="2429" priority="2786" operator="equal">
      <formula>"Muy Baja"</formula>
    </cfRule>
  </conditionalFormatting>
  <conditionalFormatting sqref="AD28">
    <cfRule type="cellIs" dxfId="2428" priority="2777" operator="equal">
      <formula>"Catastrófico"</formula>
    </cfRule>
    <cfRule type="cellIs" dxfId="2427" priority="2778" operator="equal">
      <formula>"Mayor"</formula>
    </cfRule>
    <cfRule type="cellIs" dxfId="2426" priority="2779" operator="equal">
      <formula>"Moderado"</formula>
    </cfRule>
    <cfRule type="cellIs" dxfId="2425" priority="2780" operator="equal">
      <formula>"Menor"</formula>
    </cfRule>
    <cfRule type="cellIs" dxfId="2424" priority="2781" operator="equal">
      <formula>"Leve"</formula>
    </cfRule>
  </conditionalFormatting>
  <conditionalFormatting sqref="AF28">
    <cfRule type="cellIs" dxfId="2423" priority="2773" operator="equal">
      <formula>"Extremo"</formula>
    </cfRule>
    <cfRule type="cellIs" dxfId="2422" priority="2774" operator="equal">
      <formula>"Alto"</formula>
    </cfRule>
    <cfRule type="cellIs" dxfId="2421" priority="2775" operator="equal">
      <formula>"Moderado"</formula>
    </cfRule>
    <cfRule type="cellIs" dxfId="2420" priority="2776" operator="equal">
      <formula>"Bajo"</formula>
    </cfRule>
  </conditionalFormatting>
  <conditionalFormatting sqref="AB29">
    <cfRule type="cellIs" dxfId="2419" priority="2768" operator="equal">
      <formula>"Muy Alta"</formula>
    </cfRule>
    <cfRule type="cellIs" dxfId="2418" priority="2769" operator="equal">
      <formula>"Alta"</formula>
    </cfRule>
    <cfRule type="cellIs" dxfId="2417" priority="2770" operator="equal">
      <formula>"Media"</formula>
    </cfRule>
    <cfRule type="cellIs" dxfId="2416" priority="2771" operator="equal">
      <formula>"Baja"</formula>
    </cfRule>
    <cfRule type="cellIs" dxfId="2415" priority="2772" operator="equal">
      <formula>"Muy Baja"</formula>
    </cfRule>
  </conditionalFormatting>
  <conditionalFormatting sqref="AD29">
    <cfRule type="cellIs" dxfId="2414" priority="2763" operator="equal">
      <formula>"Catastrófico"</formula>
    </cfRule>
    <cfRule type="cellIs" dxfId="2413" priority="2764" operator="equal">
      <formula>"Mayor"</formula>
    </cfRule>
    <cfRule type="cellIs" dxfId="2412" priority="2765" operator="equal">
      <formula>"Moderado"</formula>
    </cfRule>
    <cfRule type="cellIs" dxfId="2411" priority="2766" operator="equal">
      <formula>"Menor"</formula>
    </cfRule>
    <cfRule type="cellIs" dxfId="2410" priority="2767" operator="equal">
      <formula>"Leve"</formula>
    </cfRule>
  </conditionalFormatting>
  <conditionalFormatting sqref="AF29">
    <cfRule type="cellIs" dxfId="2409" priority="2759" operator="equal">
      <formula>"Extremo"</formula>
    </cfRule>
    <cfRule type="cellIs" dxfId="2408" priority="2760" operator="equal">
      <formula>"Alto"</formula>
    </cfRule>
    <cfRule type="cellIs" dxfId="2407" priority="2761" operator="equal">
      <formula>"Moderado"</formula>
    </cfRule>
    <cfRule type="cellIs" dxfId="2406" priority="2762" operator="equal">
      <formula>"Bajo"</formula>
    </cfRule>
  </conditionalFormatting>
  <conditionalFormatting sqref="AB30">
    <cfRule type="cellIs" dxfId="2405" priority="2754" operator="equal">
      <formula>"Muy Alta"</formula>
    </cfRule>
    <cfRule type="cellIs" dxfId="2404" priority="2755" operator="equal">
      <formula>"Alta"</formula>
    </cfRule>
    <cfRule type="cellIs" dxfId="2403" priority="2756" operator="equal">
      <formula>"Media"</formula>
    </cfRule>
    <cfRule type="cellIs" dxfId="2402" priority="2757" operator="equal">
      <formula>"Baja"</formula>
    </cfRule>
    <cfRule type="cellIs" dxfId="2401" priority="2758" operator="equal">
      <formula>"Muy Baja"</formula>
    </cfRule>
  </conditionalFormatting>
  <conditionalFormatting sqref="AD30">
    <cfRule type="cellIs" dxfId="2400" priority="2749" operator="equal">
      <formula>"Catastrófico"</formula>
    </cfRule>
    <cfRule type="cellIs" dxfId="2399" priority="2750" operator="equal">
      <formula>"Mayor"</formula>
    </cfRule>
    <cfRule type="cellIs" dxfId="2398" priority="2751" operator="equal">
      <formula>"Moderado"</formula>
    </cfRule>
    <cfRule type="cellIs" dxfId="2397" priority="2752" operator="equal">
      <formula>"Menor"</formula>
    </cfRule>
    <cfRule type="cellIs" dxfId="2396" priority="2753" operator="equal">
      <formula>"Leve"</formula>
    </cfRule>
  </conditionalFormatting>
  <conditionalFormatting sqref="AF30">
    <cfRule type="cellIs" dxfId="2395" priority="2745" operator="equal">
      <formula>"Extremo"</formula>
    </cfRule>
    <cfRule type="cellIs" dxfId="2394" priority="2746" operator="equal">
      <formula>"Alto"</formula>
    </cfRule>
    <cfRule type="cellIs" dxfId="2393" priority="2747" operator="equal">
      <formula>"Moderado"</formula>
    </cfRule>
    <cfRule type="cellIs" dxfId="2392" priority="2748" operator="equal">
      <formula>"Bajo"</formula>
    </cfRule>
  </conditionalFormatting>
  <conditionalFormatting sqref="AB31">
    <cfRule type="cellIs" dxfId="2391" priority="2740" operator="equal">
      <formula>"Muy Alta"</formula>
    </cfRule>
    <cfRule type="cellIs" dxfId="2390" priority="2741" operator="equal">
      <formula>"Alta"</formula>
    </cfRule>
    <cfRule type="cellIs" dxfId="2389" priority="2742" operator="equal">
      <formula>"Media"</formula>
    </cfRule>
    <cfRule type="cellIs" dxfId="2388" priority="2743" operator="equal">
      <formula>"Baja"</formula>
    </cfRule>
    <cfRule type="cellIs" dxfId="2387" priority="2744" operator="equal">
      <formula>"Muy Baja"</formula>
    </cfRule>
  </conditionalFormatting>
  <conditionalFormatting sqref="AD31">
    <cfRule type="cellIs" dxfId="2386" priority="2735" operator="equal">
      <formula>"Catastrófico"</formula>
    </cfRule>
    <cfRule type="cellIs" dxfId="2385" priority="2736" operator="equal">
      <formula>"Mayor"</formula>
    </cfRule>
    <cfRule type="cellIs" dxfId="2384" priority="2737" operator="equal">
      <formula>"Moderado"</formula>
    </cfRule>
    <cfRule type="cellIs" dxfId="2383" priority="2738" operator="equal">
      <formula>"Menor"</formula>
    </cfRule>
    <cfRule type="cellIs" dxfId="2382" priority="2739" operator="equal">
      <formula>"Leve"</formula>
    </cfRule>
  </conditionalFormatting>
  <conditionalFormatting sqref="AF31">
    <cfRule type="cellIs" dxfId="2381" priority="2731" operator="equal">
      <formula>"Extremo"</formula>
    </cfRule>
    <cfRule type="cellIs" dxfId="2380" priority="2732" operator="equal">
      <formula>"Alto"</formula>
    </cfRule>
    <cfRule type="cellIs" dxfId="2379" priority="2733" operator="equal">
      <formula>"Moderado"</formula>
    </cfRule>
    <cfRule type="cellIs" dxfId="2378" priority="2734" operator="equal">
      <formula>"Bajo"</formula>
    </cfRule>
  </conditionalFormatting>
  <conditionalFormatting sqref="AB32">
    <cfRule type="cellIs" dxfId="2377" priority="2726" operator="equal">
      <formula>"Muy Alta"</formula>
    </cfRule>
    <cfRule type="cellIs" dxfId="2376" priority="2727" operator="equal">
      <formula>"Alta"</formula>
    </cfRule>
    <cfRule type="cellIs" dxfId="2375" priority="2728" operator="equal">
      <formula>"Media"</formula>
    </cfRule>
    <cfRule type="cellIs" dxfId="2374" priority="2729" operator="equal">
      <formula>"Baja"</formula>
    </cfRule>
    <cfRule type="cellIs" dxfId="2373" priority="2730" operator="equal">
      <formula>"Muy Baja"</formula>
    </cfRule>
  </conditionalFormatting>
  <conditionalFormatting sqref="AD32">
    <cfRule type="cellIs" dxfId="2372" priority="2721" operator="equal">
      <formula>"Catastrófico"</formula>
    </cfRule>
    <cfRule type="cellIs" dxfId="2371" priority="2722" operator="equal">
      <formula>"Mayor"</formula>
    </cfRule>
    <cfRule type="cellIs" dxfId="2370" priority="2723" operator="equal">
      <formula>"Moderado"</formula>
    </cfRule>
    <cfRule type="cellIs" dxfId="2369" priority="2724" operator="equal">
      <formula>"Menor"</formula>
    </cfRule>
    <cfRule type="cellIs" dxfId="2368" priority="2725" operator="equal">
      <formula>"Leve"</formula>
    </cfRule>
  </conditionalFormatting>
  <conditionalFormatting sqref="AF32">
    <cfRule type="cellIs" dxfId="2367" priority="2717" operator="equal">
      <formula>"Extremo"</formula>
    </cfRule>
    <cfRule type="cellIs" dxfId="2366" priority="2718" operator="equal">
      <formula>"Alto"</formula>
    </cfRule>
    <cfRule type="cellIs" dxfId="2365" priority="2719" operator="equal">
      <formula>"Moderado"</formula>
    </cfRule>
    <cfRule type="cellIs" dxfId="2364" priority="2720" operator="equal">
      <formula>"Bajo"</formula>
    </cfRule>
  </conditionalFormatting>
  <conditionalFormatting sqref="AB33">
    <cfRule type="cellIs" dxfId="2363" priority="2712" operator="equal">
      <formula>"Muy Alta"</formula>
    </cfRule>
    <cfRule type="cellIs" dxfId="2362" priority="2713" operator="equal">
      <formula>"Alta"</formula>
    </cfRule>
    <cfRule type="cellIs" dxfId="2361" priority="2714" operator="equal">
      <formula>"Media"</formula>
    </cfRule>
    <cfRule type="cellIs" dxfId="2360" priority="2715" operator="equal">
      <formula>"Baja"</formula>
    </cfRule>
    <cfRule type="cellIs" dxfId="2359" priority="2716" operator="equal">
      <formula>"Muy Baja"</formula>
    </cfRule>
  </conditionalFormatting>
  <conditionalFormatting sqref="AD33">
    <cfRule type="cellIs" dxfId="2358" priority="2707" operator="equal">
      <formula>"Catastrófico"</formula>
    </cfRule>
    <cfRule type="cellIs" dxfId="2357" priority="2708" operator="equal">
      <formula>"Mayor"</formula>
    </cfRule>
    <cfRule type="cellIs" dxfId="2356" priority="2709" operator="equal">
      <formula>"Moderado"</formula>
    </cfRule>
    <cfRule type="cellIs" dxfId="2355" priority="2710" operator="equal">
      <formula>"Menor"</formula>
    </cfRule>
    <cfRule type="cellIs" dxfId="2354" priority="2711" operator="equal">
      <formula>"Leve"</formula>
    </cfRule>
  </conditionalFormatting>
  <conditionalFormatting sqref="AF33">
    <cfRule type="cellIs" dxfId="2353" priority="2703" operator="equal">
      <formula>"Extremo"</formula>
    </cfRule>
    <cfRule type="cellIs" dxfId="2352" priority="2704" operator="equal">
      <formula>"Alto"</formula>
    </cfRule>
    <cfRule type="cellIs" dxfId="2351" priority="2705" operator="equal">
      <formula>"Moderado"</formula>
    </cfRule>
    <cfRule type="cellIs" dxfId="2350" priority="2706" operator="equal">
      <formula>"Bajo"</formula>
    </cfRule>
  </conditionalFormatting>
  <conditionalFormatting sqref="AB34">
    <cfRule type="cellIs" dxfId="2349" priority="2698" operator="equal">
      <formula>"Muy Alta"</formula>
    </cfRule>
    <cfRule type="cellIs" dxfId="2348" priority="2699" operator="equal">
      <formula>"Alta"</formula>
    </cfRule>
    <cfRule type="cellIs" dxfId="2347" priority="2700" operator="equal">
      <formula>"Media"</formula>
    </cfRule>
    <cfRule type="cellIs" dxfId="2346" priority="2701" operator="equal">
      <formula>"Baja"</formula>
    </cfRule>
    <cfRule type="cellIs" dxfId="2345" priority="2702" operator="equal">
      <formula>"Muy Baja"</formula>
    </cfRule>
  </conditionalFormatting>
  <conditionalFormatting sqref="AD34">
    <cfRule type="cellIs" dxfId="2344" priority="2693" operator="equal">
      <formula>"Catastrófico"</formula>
    </cfRule>
    <cfRule type="cellIs" dxfId="2343" priority="2694" operator="equal">
      <formula>"Mayor"</formula>
    </cfRule>
    <cfRule type="cellIs" dxfId="2342" priority="2695" operator="equal">
      <formula>"Moderado"</formula>
    </cfRule>
    <cfRule type="cellIs" dxfId="2341" priority="2696" operator="equal">
      <formula>"Menor"</formula>
    </cfRule>
    <cfRule type="cellIs" dxfId="2340" priority="2697" operator="equal">
      <formula>"Leve"</formula>
    </cfRule>
  </conditionalFormatting>
  <conditionalFormatting sqref="AF34">
    <cfRule type="cellIs" dxfId="2339" priority="2689" operator="equal">
      <formula>"Extremo"</formula>
    </cfRule>
    <cfRule type="cellIs" dxfId="2338" priority="2690" operator="equal">
      <formula>"Alto"</formula>
    </cfRule>
    <cfRule type="cellIs" dxfId="2337" priority="2691" operator="equal">
      <formula>"Moderado"</formula>
    </cfRule>
    <cfRule type="cellIs" dxfId="2336" priority="2692" operator="equal">
      <formula>"Bajo"</formula>
    </cfRule>
  </conditionalFormatting>
  <conditionalFormatting sqref="AB35">
    <cfRule type="cellIs" dxfId="2335" priority="2684" operator="equal">
      <formula>"Muy Alta"</formula>
    </cfRule>
    <cfRule type="cellIs" dxfId="2334" priority="2685" operator="equal">
      <formula>"Alta"</formula>
    </cfRule>
    <cfRule type="cellIs" dxfId="2333" priority="2686" operator="equal">
      <formula>"Media"</formula>
    </cfRule>
    <cfRule type="cellIs" dxfId="2332" priority="2687" operator="equal">
      <formula>"Baja"</formula>
    </cfRule>
    <cfRule type="cellIs" dxfId="2331" priority="2688" operator="equal">
      <formula>"Muy Baja"</formula>
    </cfRule>
  </conditionalFormatting>
  <conditionalFormatting sqref="AD35">
    <cfRule type="cellIs" dxfId="2330" priority="2679" operator="equal">
      <formula>"Catastrófico"</formula>
    </cfRule>
    <cfRule type="cellIs" dxfId="2329" priority="2680" operator="equal">
      <formula>"Mayor"</formula>
    </cfRule>
    <cfRule type="cellIs" dxfId="2328" priority="2681" operator="equal">
      <formula>"Moderado"</formula>
    </cfRule>
    <cfRule type="cellIs" dxfId="2327" priority="2682" operator="equal">
      <formula>"Menor"</formula>
    </cfRule>
    <cfRule type="cellIs" dxfId="2326" priority="2683" operator="equal">
      <formula>"Leve"</formula>
    </cfRule>
  </conditionalFormatting>
  <conditionalFormatting sqref="AF35">
    <cfRule type="cellIs" dxfId="2325" priority="2675" operator="equal">
      <formula>"Extremo"</formula>
    </cfRule>
    <cfRule type="cellIs" dxfId="2324" priority="2676" operator="equal">
      <formula>"Alto"</formula>
    </cfRule>
    <cfRule type="cellIs" dxfId="2323" priority="2677" operator="equal">
      <formula>"Moderado"</formula>
    </cfRule>
    <cfRule type="cellIs" dxfId="2322" priority="2678" operator="equal">
      <formula>"Bajo"</formula>
    </cfRule>
  </conditionalFormatting>
  <conditionalFormatting sqref="AB36">
    <cfRule type="cellIs" dxfId="2321" priority="2670" operator="equal">
      <formula>"Muy Alta"</formula>
    </cfRule>
    <cfRule type="cellIs" dxfId="2320" priority="2671" operator="equal">
      <formula>"Alta"</formula>
    </cfRule>
    <cfRule type="cellIs" dxfId="2319" priority="2672" operator="equal">
      <formula>"Media"</formula>
    </cfRule>
    <cfRule type="cellIs" dxfId="2318" priority="2673" operator="equal">
      <formula>"Baja"</formula>
    </cfRule>
    <cfRule type="cellIs" dxfId="2317" priority="2674" operator="equal">
      <formula>"Muy Baja"</formula>
    </cfRule>
  </conditionalFormatting>
  <conditionalFormatting sqref="AD36">
    <cfRule type="cellIs" dxfId="2316" priority="2665" operator="equal">
      <formula>"Catastrófico"</formula>
    </cfRule>
    <cfRule type="cellIs" dxfId="2315" priority="2666" operator="equal">
      <formula>"Mayor"</formula>
    </cfRule>
    <cfRule type="cellIs" dxfId="2314" priority="2667" operator="equal">
      <formula>"Moderado"</formula>
    </cfRule>
    <cfRule type="cellIs" dxfId="2313" priority="2668" operator="equal">
      <formula>"Menor"</formula>
    </cfRule>
    <cfRule type="cellIs" dxfId="2312" priority="2669" operator="equal">
      <formula>"Leve"</formula>
    </cfRule>
  </conditionalFormatting>
  <conditionalFormatting sqref="AF36">
    <cfRule type="cellIs" dxfId="2311" priority="2661" operator="equal">
      <formula>"Extremo"</formula>
    </cfRule>
    <cfRule type="cellIs" dxfId="2310" priority="2662" operator="equal">
      <formula>"Alto"</formula>
    </cfRule>
    <cfRule type="cellIs" dxfId="2309" priority="2663" operator="equal">
      <formula>"Moderado"</formula>
    </cfRule>
    <cfRule type="cellIs" dxfId="2308" priority="2664" operator="equal">
      <formula>"Bajo"</formula>
    </cfRule>
  </conditionalFormatting>
  <conditionalFormatting sqref="AB37">
    <cfRule type="cellIs" dxfId="2307" priority="2656" operator="equal">
      <formula>"Muy Alta"</formula>
    </cfRule>
    <cfRule type="cellIs" dxfId="2306" priority="2657" operator="equal">
      <formula>"Alta"</formula>
    </cfRule>
    <cfRule type="cellIs" dxfId="2305" priority="2658" operator="equal">
      <formula>"Media"</formula>
    </cfRule>
    <cfRule type="cellIs" dxfId="2304" priority="2659" operator="equal">
      <formula>"Baja"</formula>
    </cfRule>
    <cfRule type="cellIs" dxfId="2303" priority="2660" operator="equal">
      <formula>"Muy Baja"</formula>
    </cfRule>
  </conditionalFormatting>
  <conditionalFormatting sqref="AD37">
    <cfRule type="cellIs" dxfId="2302" priority="2651" operator="equal">
      <formula>"Catastrófico"</formula>
    </cfRule>
    <cfRule type="cellIs" dxfId="2301" priority="2652" operator="equal">
      <formula>"Mayor"</formula>
    </cfRule>
    <cfRule type="cellIs" dxfId="2300" priority="2653" operator="equal">
      <formula>"Moderado"</formula>
    </cfRule>
    <cfRule type="cellIs" dxfId="2299" priority="2654" operator="equal">
      <formula>"Menor"</formula>
    </cfRule>
    <cfRule type="cellIs" dxfId="2298" priority="2655" operator="equal">
      <formula>"Leve"</formula>
    </cfRule>
  </conditionalFormatting>
  <conditionalFormatting sqref="AF37">
    <cfRule type="cellIs" dxfId="2297" priority="2647" operator="equal">
      <formula>"Extremo"</formula>
    </cfRule>
    <cfRule type="cellIs" dxfId="2296" priority="2648" operator="equal">
      <formula>"Alto"</formula>
    </cfRule>
    <cfRule type="cellIs" dxfId="2295" priority="2649" operator="equal">
      <formula>"Moderado"</formula>
    </cfRule>
    <cfRule type="cellIs" dxfId="2294" priority="2650" operator="equal">
      <formula>"Bajo"</formula>
    </cfRule>
  </conditionalFormatting>
  <conditionalFormatting sqref="AB38">
    <cfRule type="cellIs" dxfId="2293" priority="2642" operator="equal">
      <formula>"Muy Alta"</formula>
    </cfRule>
    <cfRule type="cellIs" dxfId="2292" priority="2643" operator="equal">
      <formula>"Alta"</formula>
    </cfRule>
    <cfRule type="cellIs" dxfId="2291" priority="2644" operator="equal">
      <formula>"Media"</formula>
    </cfRule>
    <cfRule type="cellIs" dxfId="2290" priority="2645" operator="equal">
      <formula>"Baja"</formula>
    </cfRule>
    <cfRule type="cellIs" dxfId="2289" priority="2646" operator="equal">
      <formula>"Muy Baja"</formula>
    </cfRule>
  </conditionalFormatting>
  <conditionalFormatting sqref="AD38">
    <cfRule type="cellIs" dxfId="2288" priority="2637" operator="equal">
      <formula>"Catastrófico"</formula>
    </cfRule>
    <cfRule type="cellIs" dxfId="2287" priority="2638" operator="equal">
      <formula>"Mayor"</formula>
    </cfRule>
    <cfRule type="cellIs" dxfId="2286" priority="2639" operator="equal">
      <formula>"Moderado"</formula>
    </cfRule>
    <cfRule type="cellIs" dxfId="2285" priority="2640" operator="equal">
      <formula>"Menor"</formula>
    </cfRule>
    <cfRule type="cellIs" dxfId="2284" priority="2641" operator="equal">
      <formula>"Leve"</formula>
    </cfRule>
  </conditionalFormatting>
  <conditionalFormatting sqref="AF38">
    <cfRule type="cellIs" dxfId="2283" priority="2633" operator="equal">
      <formula>"Extremo"</formula>
    </cfRule>
    <cfRule type="cellIs" dxfId="2282" priority="2634" operator="equal">
      <formula>"Alto"</formula>
    </cfRule>
    <cfRule type="cellIs" dxfId="2281" priority="2635" operator="equal">
      <formula>"Moderado"</formula>
    </cfRule>
    <cfRule type="cellIs" dxfId="2280" priority="2636" operator="equal">
      <formula>"Bajo"</formula>
    </cfRule>
  </conditionalFormatting>
  <conditionalFormatting sqref="AB39">
    <cfRule type="cellIs" dxfId="2279" priority="2628" operator="equal">
      <formula>"Muy Alta"</formula>
    </cfRule>
    <cfRule type="cellIs" dxfId="2278" priority="2629" operator="equal">
      <formula>"Alta"</formula>
    </cfRule>
    <cfRule type="cellIs" dxfId="2277" priority="2630" operator="equal">
      <formula>"Media"</formula>
    </cfRule>
    <cfRule type="cellIs" dxfId="2276" priority="2631" operator="equal">
      <formula>"Baja"</formula>
    </cfRule>
    <cfRule type="cellIs" dxfId="2275" priority="2632" operator="equal">
      <formula>"Muy Baja"</formula>
    </cfRule>
  </conditionalFormatting>
  <conditionalFormatting sqref="AD39">
    <cfRule type="cellIs" dxfId="2274" priority="2623" operator="equal">
      <formula>"Catastrófico"</formula>
    </cfRule>
    <cfRule type="cellIs" dxfId="2273" priority="2624" operator="equal">
      <formula>"Mayor"</formula>
    </cfRule>
    <cfRule type="cellIs" dxfId="2272" priority="2625" operator="equal">
      <formula>"Moderado"</formula>
    </cfRule>
    <cfRule type="cellIs" dxfId="2271" priority="2626" operator="equal">
      <formula>"Menor"</formula>
    </cfRule>
    <cfRule type="cellIs" dxfId="2270" priority="2627" operator="equal">
      <formula>"Leve"</formula>
    </cfRule>
  </conditionalFormatting>
  <conditionalFormatting sqref="AF39">
    <cfRule type="cellIs" dxfId="2269" priority="2619" operator="equal">
      <formula>"Extremo"</formula>
    </cfRule>
    <cfRule type="cellIs" dxfId="2268" priority="2620" operator="equal">
      <formula>"Alto"</formula>
    </cfRule>
    <cfRule type="cellIs" dxfId="2267" priority="2621" operator="equal">
      <formula>"Moderado"</formula>
    </cfRule>
    <cfRule type="cellIs" dxfId="2266" priority="2622" operator="equal">
      <formula>"Bajo"</formula>
    </cfRule>
  </conditionalFormatting>
  <conditionalFormatting sqref="AB40">
    <cfRule type="cellIs" dxfId="2265" priority="2572" operator="equal">
      <formula>"Muy Alta"</formula>
    </cfRule>
    <cfRule type="cellIs" dxfId="2264" priority="2573" operator="equal">
      <formula>"Alta"</formula>
    </cfRule>
    <cfRule type="cellIs" dxfId="2263" priority="2574" operator="equal">
      <formula>"Media"</formula>
    </cfRule>
    <cfRule type="cellIs" dxfId="2262" priority="2575" operator="equal">
      <formula>"Baja"</formula>
    </cfRule>
    <cfRule type="cellIs" dxfId="2261" priority="2576" operator="equal">
      <formula>"Muy Baja"</formula>
    </cfRule>
  </conditionalFormatting>
  <conditionalFormatting sqref="AD40">
    <cfRule type="cellIs" dxfId="2260" priority="2567" operator="equal">
      <formula>"Catastrófico"</formula>
    </cfRule>
    <cfRule type="cellIs" dxfId="2259" priority="2568" operator="equal">
      <formula>"Mayor"</formula>
    </cfRule>
    <cfRule type="cellIs" dxfId="2258" priority="2569" operator="equal">
      <formula>"Moderado"</formula>
    </cfRule>
    <cfRule type="cellIs" dxfId="2257" priority="2570" operator="equal">
      <formula>"Menor"</formula>
    </cfRule>
    <cfRule type="cellIs" dxfId="2256" priority="2571" operator="equal">
      <formula>"Leve"</formula>
    </cfRule>
  </conditionalFormatting>
  <conditionalFormatting sqref="AF40">
    <cfRule type="cellIs" dxfId="2255" priority="2563" operator="equal">
      <formula>"Extremo"</formula>
    </cfRule>
    <cfRule type="cellIs" dxfId="2254" priority="2564" operator="equal">
      <formula>"Alto"</formula>
    </cfRule>
    <cfRule type="cellIs" dxfId="2253" priority="2565" operator="equal">
      <formula>"Moderado"</formula>
    </cfRule>
    <cfRule type="cellIs" dxfId="2252" priority="2566" operator="equal">
      <formula>"Bajo"</formula>
    </cfRule>
  </conditionalFormatting>
  <conditionalFormatting sqref="AB43">
    <cfRule type="cellIs" dxfId="2251" priority="2558" operator="equal">
      <formula>"Muy Alta"</formula>
    </cfRule>
    <cfRule type="cellIs" dxfId="2250" priority="2559" operator="equal">
      <formula>"Alta"</formula>
    </cfRule>
    <cfRule type="cellIs" dxfId="2249" priority="2560" operator="equal">
      <formula>"Media"</formula>
    </cfRule>
    <cfRule type="cellIs" dxfId="2248" priority="2561" operator="equal">
      <formula>"Baja"</formula>
    </cfRule>
    <cfRule type="cellIs" dxfId="2247" priority="2562" operator="equal">
      <formula>"Muy Baja"</formula>
    </cfRule>
  </conditionalFormatting>
  <conditionalFormatting sqref="AD43">
    <cfRule type="cellIs" dxfId="2246" priority="2553" operator="equal">
      <formula>"Catastrófico"</formula>
    </cfRule>
    <cfRule type="cellIs" dxfId="2245" priority="2554" operator="equal">
      <formula>"Mayor"</formula>
    </cfRule>
    <cfRule type="cellIs" dxfId="2244" priority="2555" operator="equal">
      <formula>"Moderado"</formula>
    </cfRule>
    <cfRule type="cellIs" dxfId="2243" priority="2556" operator="equal">
      <formula>"Menor"</formula>
    </cfRule>
    <cfRule type="cellIs" dxfId="2242" priority="2557" operator="equal">
      <formula>"Leve"</formula>
    </cfRule>
  </conditionalFormatting>
  <conditionalFormatting sqref="AF43">
    <cfRule type="cellIs" dxfId="2241" priority="2549" operator="equal">
      <formula>"Extremo"</formula>
    </cfRule>
    <cfRule type="cellIs" dxfId="2240" priority="2550" operator="equal">
      <formula>"Alto"</formula>
    </cfRule>
    <cfRule type="cellIs" dxfId="2239" priority="2551" operator="equal">
      <formula>"Moderado"</formula>
    </cfRule>
    <cfRule type="cellIs" dxfId="2238" priority="2552" operator="equal">
      <formula>"Bajo"</formula>
    </cfRule>
  </conditionalFormatting>
  <conditionalFormatting sqref="AB41">
    <cfRule type="cellIs" dxfId="2237" priority="2544" operator="equal">
      <formula>"Muy Alta"</formula>
    </cfRule>
    <cfRule type="cellIs" dxfId="2236" priority="2545" operator="equal">
      <formula>"Alta"</formula>
    </cfRule>
    <cfRule type="cellIs" dxfId="2235" priority="2546" operator="equal">
      <formula>"Media"</formula>
    </cfRule>
    <cfRule type="cellIs" dxfId="2234" priority="2547" operator="equal">
      <formula>"Baja"</formula>
    </cfRule>
    <cfRule type="cellIs" dxfId="2233" priority="2548" operator="equal">
      <formula>"Muy Baja"</formula>
    </cfRule>
  </conditionalFormatting>
  <conditionalFormatting sqref="AD41">
    <cfRule type="cellIs" dxfId="2232" priority="2539" operator="equal">
      <formula>"Catastrófico"</formula>
    </cfRule>
    <cfRule type="cellIs" dxfId="2231" priority="2540" operator="equal">
      <formula>"Mayor"</formula>
    </cfRule>
    <cfRule type="cellIs" dxfId="2230" priority="2541" operator="equal">
      <formula>"Moderado"</formula>
    </cfRule>
    <cfRule type="cellIs" dxfId="2229" priority="2542" operator="equal">
      <formula>"Menor"</formula>
    </cfRule>
    <cfRule type="cellIs" dxfId="2228" priority="2543" operator="equal">
      <formula>"Leve"</formula>
    </cfRule>
  </conditionalFormatting>
  <conditionalFormatting sqref="AF41">
    <cfRule type="cellIs" dxfId="2227" priority="2535" operator="equal">
      <formula>"Extremo"</formula>
    </cfRule>
    <cfRule type="cellIs" dxfId="2226" priority="2536" operator="equal">
      <formula>"Alto"</formula>
    </cfRule>
    <cfRule type="cellIs" dxfId="2225" priority="2537" operator="equal">
      <formula>"Moderado"</formula>
    </cfRule>
    <cfRule type="cellIs" dxfId="2224" priority="2538" operator="equal">
      <formula>"Bajo"</formula>
    </cfRule>
  </conditionalFormatting>
  <conditionalFormatting sqref="AB42">
    <cfRule type="cellIs" dxfId="2223" priority="2530" operator="equal">
      <formula>"Muy Alta"</formula>
    </cfRule>
    <cfRule type="cellIs" dxfId="2222" priority="2531" operator="equal">
      <formula>"Alta"</formula>
    </cfRule>
    <cfRule type="cellIs" dxfId="2221" priority="2532" operator="equal">
      <formula>"Media"</formula>
    </cfRule>
    <cfRule type="cellIs" dxfId="2220" priority="2533" operator="equal">
      <formula>"Baja"</formula>
    </cfRule>
    <cfRule type="cellIs" dxfId="2219" priority="2534" operator="equal">
      <formula>"Muy Baja"</formula>
    </cfRule>
  </conditionalFormatting>
  <conditionalFormatting sqref="AD42">
    <cfRule type="cellIs" dxfId="2218" priority="2525" operator="equal">
      <formula>"Catastrófico"</formula>
    </cfRule>
    <cfRule type="cellIs" dxfId="2217" priority="2526" operator="equal">
      <formula>"Mayor"</formula>
    </cfRule>
    <cfRule type="cellIs" dxfId="2216" priority="2527" operator="equal">
      <formula>"Moderado"</formula>
    </cfRule>
    <cfRule type="cellIs" dxfId="2215" priority="2528" operator="equal">
      <formula>"Menor"</formula>
    </cfRule>
    <cfRule type="cellIs" dxfId="2214" priority="2529" operator="equal">
      <formula>"Leve"</formula>
    </cfRule>
  </conditionalFormatting>
  <conditionalFormatting sqref="AF42">
    <cfRule type="cellIs" dxfId="2213" priority="2521" operator="equal">
      <formula>"Extremo"</formula>
    </cfRule>
    <cfRule type="cellIs" dxfId="2212" priority="2522" operator="equal">
      <formula>"Alto"</formula>
    </cfRule>
    <cfRule type="cellIs" dxfId="2211" priority="2523" operator="equal">
      <formula>"Moderado"</formula>
    </cfRule>
    <cfRule type="cellIs" dxfId="2210" priority="2524" operator="equal">
      <formula>"Bajo"</formula>
    </cfRule>
  </conditionalFormatting>
  <conditionalFormatting sqref="AB44">
    <cfRule type="cellIs" dxfId="2209" priority="2516" operator="equal">
      <formula>"Muy Alta"</formula>
    </cfRule>
    <cfRule type="cellIs" dxfId="2208" priority="2517" operator="equal">
      <formula>"Alta"</formula>
    </cfRule>
    <cfRule type="cellIs" dxfId="2207" priority="2518" operator="equal">
      <formula>"Media"</formula>
    </cfRule>
    <cfRule type="cellIs" dxfId="2206" priority="2519" operator="equal">
      <formula>"Baja"</formula>
    </cfRule>
    <cfRule type="cellIs" dxfId="2205" priority="2520" operator="equal">
      <formula>"Muy Baja"</formula>
    </cfRule>
  </conditionalFormatting>
  <conditionalFormatting sqref="AD44">
    <cfRule type="cellIs" dxfId="2204" priority="2511" operator="equal">
      <formula>"Catastrófico"</formula>
    </cfRule>
    <cfRule type="cellIs" dxfId="2203" priority="2512" operator="equal">
      <formula>"Mayor"</formula>
    </cfRule>
    <cfRule type="cellIs" dxfId="2202" priority="2513" operator="equal">
      <formula>"Moderado"</formula>
    </cfRule>
    <cfRule type="cellIs" dxfId="2201" priority="2514" operator="equal">
      <formula>"Menor"</formula>
    </cfRule>
    <cfRule type="cellIs" dxfId="2200" priority="2515" operator="equal">
      <formula>"Leve"</formula>
    </cfRule>
  </conditionalFormatting>
  <conditionalFormatting sqref="AF44">
    <cfRule type="cellIs" dxfId="2199" priority="2507" operator="equal">
      <formula>"Extremo"</formula>
    </cfRule>
    <cfRule type="cellIs" dxfId="2198" priority="2508" operator="equal">
      <formula>"Alto"</formula>
    </cfRule>
    <cfRule type="cellIs" dxfId="2197" priority="2509" operator="equal">
      <formula>"Moderado"</formula>
    </cfRule>
    <cfRule type="cellIs" dxfId="2196" priority="2510" operator="equal">
      <formula>"Bajo"</formula>
    </cfRule>
  </conditionalFormatting>
  <conditionalFormatting sqref="AB45">
    <cfRule type="cellIs" dxfId="2195" priority="2502" operator="equal">
      <formula>"Muy Alta"</formula>
    </cfRule>
    <cfRule type="cellIs" dxfId="2194" priority="2503" operator="equal">
      <formula>"Alta"</formula>
    </cfRule>
    <cfRule type="cellIs" dxfId="2193" priority="2504" operator="equal">
      <formula>"Media"</formula>
    </cfRule>
    <cfRule type="cellIs" dxfId="2192" priority="2505" operator="equal">
      <formula>"Baja"</formula>
    </cfRule>
    <cfRule type="cellIs" dxfId="2191" priority="2506" operator="equal">
      <formula>"Muy Baja"</formula>
    </cfRule>
  </conditionalFormatting>
  <conditionalFormatting sqref="AD45">
    <cfRule type="cellIs" dxfId="2190" priority="2497" operator="equal">
      <formula>"Catastrófico"</formula>
    </cfRule>
    <cfRule type="cellIs" dxfId="2189" priority="2498" operator="equal">
      <formula>"Mayor"</formula>
    </cfRule>
    <cfRule type="cellIs" dxfId="2188" priority="2499" operator="equal">
      <formula>"Moderado"</formula>
    </cfRule>
    <cfRule type="cellIs" dxfId="2187" priority="2500" operator="equal">
      <formula>"Menor"</formula>
    </cfRule>
    <cfRule type="cellIs" dxfId="2186" priority="2501" operator="equal">
      <formula>"Leve"</formula>
    </cfRule>
  </conditionalFormatting>
  <conditionalFormatting sqref="AF45">
    <cfRule type="cellIs" dxfId="2185" priority="2493" operator="equal">
      <formula>"Extremo"</formula>
    </cfRule>
    <cfRule type="cellIs" dxfId="2184" priority="2494" operator="equal">
      <formula>"Alto"</formula>
    </cfRule>
    <cfRule type="cellIs" dxfId="2183" priority="2495" operator="equal">
      <formula>"Moderado"</formula>
    </cfRule>
    <cfRule type="cellIs" dxfId="2182" priority="2496" operator="equal">
      <formula>"Bajo"</formula>
    </cfRule>
  </conditionalFormatting>
  <conditionalFormatting sqref="AB47">
    <cfRule type="cellIs" dxfId="2181" priority="2488" operator="equal">
      <formula>"Muy Alta"</formula>
    </cfRule>
    <cfRule type="cellIs" dxfId="2180" priority="2489" operator="equal">
      <formula>"Alta"</formula>
    </cfRule>
    <cfRule type="cellIs" dxfId="2179" priority="2490" operator="equal">
      <formula>"Media"</formula>
    </cfRule>
    <cfRule type="cellIs" dxfId="2178" priority="2491" operator="equal">
      <formula>"Baja"</formula>
    </cfRule>
    <cfRule type="cellIs" dxfId="2177" priority="2492" operator="equal">
      <formula>"Muy Baja"</formula>
    </cfRule>
  </conditionalFormatting>
  <conditionalFormatting sqref="AD47">
    <cfRule type="cellIs" dxfId="2176" priority="2483" operator="equal">
      <formula>"Catastrófico"</formula>
    </cfRule>
    <cfRule type="cellIs" dxfId="2175" priority="2484" operator="equal">
      <formula>"Mayor"</formula>
    </cfRule>
    <cfRule type="cellIs" dxfId="2174" priority="2485" operator="equal">
      <formula>"Moderado"</formula>
    </cfRule>
    <cfRule type="cellIs" dxfId="2173" priority="2486" operator="equal">
      <formula>"Menor"</formula>
    </cfRule>
    <cfRule type="cellIs" dxfId="2172" priority="2487" operator="equal">
      <formula>"Leve"</formula>
    </cfRule>
  </conditionalFormatting>
  <conditionalFormatting sqref="AB49">
    <cfRule type="cellIs" dxfId="2171" priority="2474" operator="equal">
      <formula>"Muy Alta"</formula>
    </cfRule>
    <cfRule type="cellIs" dxfId="2170" priority="2475" operator="equal">
      <formula>"Alta"</formula>
    </cfRule>
    <cfRule type="cellIs" dxfId="2169" priority="2476" operator="equal">
      <formula>"Media"</formula>
    </cfRule>
    <cfRule type="cellIs" dxfId="2168" priority="2477" operator="equal">
      <formula>"Baja"</formula>
    </cfRule>
    <cfRule type="cellIs" dxfId="2167" priority="2478" operator="equal">
      <formula>"Muy Baja"</formula>
    </cfRule>
  </conditionalFormatting>
  <conditionalFormatting sqref="AB48">
    <cfRule type="cellIs" dxfId="2166" priority="2460" operator="equal">
      <formula>"Muy Alta"</formula>
    </cfRule>
    <cfRule type="cellIs" dxfId="2165" priority="2461" operator="equal">
      <formula>"Alta"</formula>
    </cfRule>
    <cfRule type="cellIs" dxfId="2164" priority="2462" operator="equal">
      <formula>"Media"</formula>
    </cfRule>
    <cfRule type="cellIs" dxfId="2163" priority="2463" operator="equal">
      <formula>"Baja"</formula>
    </cfRule>
    <cfRule type="cellIs" dxfId="2162" priority="2464" operator="equal">
      <formula>"Muy Baja"</formula>
    </cfRule>
  </conditionalFormatting>
  <conditionalFormatting sqref="AD48">
    <cfRule type="cellIs" dxfId="2161" priority="2455" operator="equal">
      <formula>"Catastrófico"</formula>
    </cfRule>
    <cfRule type="cellIs" dxfId="2160" priority="2456" operator="equal">
      <formula>"Mayor"</formula>
    </cfRule>
    <cfRule type="cellIs" dxfId="2159" priority="2457" operator="equal">
      <formula>"Moderado"</formula>
    </cfRule>
    <cfRule type="cellIs" dxfId="2158" priority="2458" operator="equal">
      <formula>"Menor"</formula>
    </cfRule>
    <cfRule type="cellIs" dxfId="2157" priority="2459" operator="equal">
      <formula>"Leve"</formula>
    </cfRule>
  </conditionalFormatting>
  <conditionalFormatting sqref="AF48">
    <cfRule type="cellIs" dxfId="2156" priority="2451" operator="equal">
      <formula>"Extremo"</formula>
    </cfRule>
    <cfRule type="cellIs" dxfId="2155" priority="2452" operator="equal">
      <formula>"Alto"</formula>
    </cfRule>
    <cfRule type="cellIs" dxfId="2154" priority="2453" operator="equal">
      <formula>"Moderado"</formula>
    </cfRule>
    <cfRule type="cellIs" dxfId="2153" priority="2454" operator="equal">
      <formula>"Bajo"</formula>
    </cfRule>
  </conditionalFormatting>
  <conditionalFormatting sqref="AB50">
    <cfRule type="cellIs" dxfId="2152" priority="2446" operator="equal">
      <formula>"Muy Alta"</formula>
    </cfRule>
    <cfRule type="cellIs" dxfId="2151" priority="2447" operator="equal">
      <formula>"Alta"</formula>
    </cfRule>
    <cfRule type="cellIs" dxfId="2150" priority="2448" operator="equal">
      <formula>"Media"</formula>
    </cfRule>
    <cfRule type="cellIs" dxfId="2149" priority="2449" operator="equal">
      <formula>"Baja"</formula>
    </cfRule>
    <cfRule type="cellIs" dxfId="2148" priority="2450" operator="equal">
      <formula>"Muy Baja"</formula>
    </cfRule>
  </conditionalFormatting>
  <conditionalFormatting sqref="AD50">
    <cfRule type="cellIs" dxfId="2147" priority="2441" operator="equal">
      <formula>"Catastrófico"</formula>
    </cfRule>
    <cfRule type="cellIs" dxfId="2146" priority="2442" operator="equal">
      <formula>"Mayor"</formula>
    </cfRule>
    <cfRule type="cellIs" dxfId="2145" priority="2443" operator="equal">
      <formula>"Moderado"</formula>
    </cfRule>
    <cfRule type="cellIs" dxfId="2144" priority="2444" operator="equal">
      <formula>"Menor"</formula>
    </cfRule>
    <cfRule type="cellIs" dxfId="2143" priority="2445" operator="equal">
      <formula>"Leve"</formula>
    </cfRule>
  </conditionalFormatting>
  <conditionalFormatting sqref="AF50">
    <cfRule type="cellIs" dxfId="2142" priority="2437" operator="equal">
      <formula>"Extremo"</formula>
    </cfRule>
    <cfRule type="cellIs" dxfId="2141" priority="2438" operator="equal">
      <formula>"Alto"</formula>
    </cfRule>
    <cfRule type="cellIs" dxfId="2140" priority="2439" operator="equal">
      <formula>"Moderado"</formula>
    </cfRule>
    <cfRule type="cellIs" dxfId="2139" priority="2440" operator="equal">
      <formula>"Bajo"</formula>
    </cfRule>
  </conditionalFormatting>
  <conditionalFormatting sqref="AB51">
    <cfRule type="cellIs" dxfId="2138" priority="2432" operator="equal">
      <formula>"Muy Alta"</formula>
    </cfRule>
    <cfRule type="cellIs" dxfId="2137" priority="2433" operator="equal">
      <formula>"Alta"</formula>
    </cfRule>
    <cfRule type="cellIs" dxfId="2136" priority="2434" operator="equal">
      <formula>"Media"</formula>
    </cfRule>
    <cfRule type="cellIs" dxfId="2135" priority="2435" operator="equal">
      <formula>"Baja"</formula>
    </cfRule>
    <cfRule type="cellIs" dxfId="2134" priority="2436" operator="equal">
      <formula>"Muy Baja"</formula>
    </cfRule>
  </conditionalFormatting>
  <conditionalFormatting sqref="AD51">
    <cfRule type="cellIs" dxfId="2133" priority="2427" operator="equal">
      <formula>"Catastrófico"</formula>
    </cfRule>
    <cfRule type="cellIs" dxfId="2132" priority="2428" operator="equal">
      <formula>"Mayor"</formula>
    </cfRule>
    <cfRule type="cellIs" dxfId="2131" priority="2429" operator="equal">
      <formula>"Moderado"</formula>
    </cfRule>
    <cfRule type="cellIs" dxfId="2130" priority="2430" operator="equal">
      <formula>"Menor"</formula>
    </cfRule>
    <cfRule type="cellIs" dxfId="2129" priority="2431" operator="equal">
      <formula>"Leve"</formula>
    </cfRule>
  </conditionalFormatting>
  <conditionalFormatting sqref="AF51">
    <cfRule type="cellIs" dxfId="2128" priority="2423" operator="equal">
      <formula>"Extremo"</formula>
    </cfRule>
    <cfRule type="cellIs" dxfId="2127" priority="2424" operator="equal">
      <formula>"Alto"</formula>
    </cfRule>
    <cfRule type="cellIs" dxfId="2126" priority="2425" operator="equal">
      <formula>"Moderado"</formula>
    </cfRule>
    <cfRule type="cellIs" dxfId="2125" priority="2426" operator="equal">
      <formula>"Bajo"</formula>
    </cfRule>
  </conditionalFormatting>
  <conditionalFormatting sqref="AB53">
    <cfRule type="cellIs" dxfId="2124" priority="2418" operator="equal">
      <formula>"Muy Alta"</formula>
    </cfRule>
    <cfRule type="cellIs" dxfId="2123" priority="2419" operator="equal">
      <formula>"Alta"</formula>
    </cfRule>
    <cfRule type="cellIs" dxfId="2122" priority="2420" operator="equal">
      <formula>"Media"</formula>
    </cfRule>
    <cfRule type="cellIs" dxfId="2121" priority="2421" operator="equal">
      <formula>"Baja"</formula>
    </cfRule>
    <cfRule type="cellIs" dxfId="2120" priority="2422" operator="equal">
      <formula>"Muy Baja"</formula>
    </cfRule>
  </conditionalFormatting>
  <conditionalFormatting sqref="AD53">
    <cfRule type="cellIs" dxfId="2119" priority="2413" operator="equal">
      <formula>"Catastrófico"</formula>
    </cfRule>
    <cfRule type="cellIs" dxfId="2118" priority="2414" operator="equal">
      <formula>"Mayor"</formula>
    </cfRule>
    <cfRule type="cellIs" dxfId="2117" priority="2415" operator="equal">
      <formula>"Moderado"</formula>
    </cfRule>
    <cfRule type="cellIs" dxfId="2116" priority="2416" operator="equal">
      <formula>"Menor"</formula>
    </cfRule>
    <cfRule type="cellIs" dxfId="2115" priority="2417" operator="equal">
      <formula>"Leve"</formula>
    </cfRule>
  </conditionalFormatting>
  <conditionalFormatting sqref="AF53">
    <cfRule type="cellIs" dxfId="2114" priority="2409" operator="equal">
      <formula>"Extremo"</formula>
    </cfRule>
    <cfRule type="cellIs" dxfId="2113" priority="2410" operator="equal">
      <formula>"Alto"</formula>
    </cfRule>
    <cfRule type="cellIs" dxfId="2112" priority="2411" operator="equal">
      <formula>"Moderado"</formula>
    </cfRule>
    <cfRule type="cellIs" dxfId="2111" priority="2412" operator="equal">
      <formula>"Bajo"</formula>
    </cfRule>
  </conditionalFormatting>
  <conditionalFormatting sqref="AB54">
    <cfRule type="cellIs" dxfId="2110" priority="2404" operator="equal">
      <formula>"Muy Alta"</formula>
    </cfRule>
    <cfRule type="cellIs" dxfId="2109" priority="2405" operator="equal">
      <formula>"Alta"</formula>
    </cfRule>
    <cfRule type="cellIs" dxfId="2108" priority="2406" operator="equal">
      <formula>"Media"</formula>
    </cfRule>
    <cfRule type="cellIs" dxfId="2107" priority="2407" operator="equal">
      <formula>"Baja"</formula>
    </cfRule>
    <cfRule type="cellIs" dxfId="2106" priority="2408" operator="equal">
      <formula>"Muy Baja"</formula>
    </cfRule>
  </conditionalFormatting>
  <conditionalFormatting sqref="AD54">
    <cfRule type="cellIs" dxfId="2105" priority="2399" operator="equal">
      <formula>"Catastrófico"</formula>
    </cfRule>
    <cfRule type="cellIs" dxfId="2104" priority="2400" operator="equal">
      <formula>"Mayor"</formula>
    </cfRule>
    <cfRule type="cellIs" dxfId="2103" priority="2401" operator="equal">
      <formula>"Moderado"</formula>
    </cfRule>
    <cfRule type="cellIs" dxfId="2102" priority="2402" operator="equal">
      <formula>"Menor"</formula>
    </cfRule>
    <cfRule type="cellIs" dxfId="2101" priority="2403" operator="equal">
      <formula>"Leve"</formula>
    </cfRule>
  </conditionalFormatting>
  <conditionalFormatting sqref="AF54">
    <cfRule type="cellIs" dxfId="2100" priority="2395" operator="equal">
      <formula>"Extremo"</formula>
    </cfRule>
    <cfRule type="cellIs" dxfId="2099" priority="2396" operator="equal">
      <formula>"Alto"</formula>
    </cfRule>
    <cfRule type="cellIs" dxfId="2098" priority="2397" operator="equal">
      <formula>"Moderado"</formula>
    </cfRule>
    <cfRule type="cellIs" dxfId="2097" priority="2398" operator="equal">
      <formula>"Bajo"</formula>
    </cfRule>
  </conditionalFormatting>
  <conditionalFormatting sqref="AB56">
    <cfRule type="cellIs" dxfId="2096" priority="2390" operator="equal">
      <formula>"Muy Alta"</formula>
    </cfRule>
    <cfRule type="cellIs" dxfId="2095" priority="2391" operator="equal">
      <formula>"Alta"</formula>
    </cfRule>
    <cfRule type="cellIs" dxfId="2094" priority="2392" operator="equal">
      <formula>"Media"</formula>
    </cfRule>
    <cfRule type="cellIs" dxfId="2093" priority="2393" operator="equal">
      <formula>"Baja"</formula>
    </cfRule>
    <cfRule type="cellIs" dxfId="2092" priority="2394" operator="equal">
      <formula>"Muy Baja"</formula>
    </cfRule>
  </conditionalFormatting>
  <conditionalFormatting sqref="AD56">
    <cfRule type="cellIs" dxfId="2091" priority="2385" operator="equal">
      <formula>"Catastrófico"</formula>
    </cfRule>
    <cfRule type="cellIs" dxfId="2090" priority="2386" operator="equal">
      <formula>"Mayor"</formula>
    </cfRule>
    <cfRule type="cellIs" dxfId="2089" priority="2387" operator="equal">
      <formula>"Moderado"</formula>
    </cfRule>
    <cfRule type="cellIs" dxfId="2088" priority="2388" operator="equal">
      <formula>"Menor"</formula>
    </cfRule>
    <cfRule type="cellIs" dxfId="2087" priority="2389" operator="equal">
      <formula>"Leve"</formula>
    </cfRule>
  </conditionalFormatting>
  <conditionalFormatting sqref="AF56">
    <cfRule type="cellIs" dxfId="2086" priority="2381" operator="equal">
      <formula>"Extremo"</formula>
    </cfRule>
    <cfRule type="cellIs" dxfId="2085" priority="2382" operator="equal">
      <formula>"Alto"</formula>
    </cfRule>
    <cfRule type="cellIs" dxfId="2084" priority="2383" operator="equal">
      <formula>"Moderado"</formula>
    </cfRule>
    <cfRule type="cellIs" dxfId="2083" priority="2384" operator="equal">
      <formula>"Bajo"</formula>
    </cfRule>
  </conditionalFormatting>
  <conditionalFormatting sqref="AB57">
    <cfRule type="cellIs" dxfId="2082" priority="2376" operator="equal">
      <formula>"Muy Alta"</formula>
    </cfRule>
    <cfRule type="cellIs" dxfId="2081" priority="2377" operator="equal">
      <formula>"Alta"</formula>
    </cfRule>
    <cfRule type="cellIs" dxfId="2080" priority="2378" operator="equal">
      <formula>"Media"</formula>
    </cfRule>
    <cfRule type="cellIs" dxfId="2079" priority="2379" operator="equal">
      <formula>"Baja"</formula>
    </cfRule>
    <cfRule type="cellIs" dxfId="2078" priority="2380" operator="equal">
      <formula>"Muy Baja"</formula>
    </cfRule>
  </conditionalFormatting>
  <conditionalFormatting sqref="AD57">
    <cfRule type="cellIs" dxfId="2077" priority="2371" operator="equal">
      <formula>"Catastrófico"</formula>
    </cfRule>
    <cfRule type="cellIs" dxfId="2076" priority="2372" operator="equal">
      <formula>"Mayor"</formula>
    </cfRule>
    <cfRule type="cellIs" dxfId="2075" priority="2373" operator="equal">
      <formula>"Moderado"</formula>
    </cfRule>
    <cfRule type="cellIs" dxfId="2074" priority="2374" operator="equal">
      <formula>"Menor"</formula>
    </cfRule>
    <cfRule type="cellIs" dxfId="2073" priority="2375" operator="equal">
      <formula>"Leve"</formula>
    </cfRule>
  </conditionalFormatting>
  <conditionalFormatting sqref="AF57">
    <cfRule type="cellIs" dxfId="2072" priority="2367" operator="equal">
      <formula>"Extremo"</formula>
    </cfRule>
    <cfRule type="cellIs" dxfId="2071" priority="2368" operator="equal">
      <formula>"Alto"</formula>
    </cfRule>
    <cfRule type="cellIs" dxfId="2070" priority="2369" operator="equal">
      <formula>"Moderado"</formula>
    </cfRule>
    <cfRule type="cellIs" dxfId="2069" priority="2370" operator="equal">
      <formula>"Bajo"</formula>
    </cfRule>
  </conditionalFormatting>
  <conditionalFormatting sqref="AB59">
    <cfRule type="cellIs" dxfId="2068" priority="2362" operator="equal">
      <formula>"Muy Alta"</formula>
    </cfRule>
    <cfRule type="cellIs" dxfId="2067" priority="2363" operator="equal">
      <formula>"Alta"</formula>
    </cfRule>
    <cfRule type="cellIs" dxfId="2066" priority="2364" operator="equal">
      <formula>"Media"</formula>
    </cfRule>
    <cfRule type="cellIs" dxfId="2065" priority="2365" operator="equal">
      <formula>"Baja"</formula>
    </cfRule>
    <cfRule type="cellIs" dxfId="2064" priority="2366" operator="equal">
      <formula>"Muy Baja"</formula>
    </cfRule>
  </conditionalFormatting>
  <conditionalFormatting sqref="AD59">
    <cfRule type="cellIs" dxfId="2063" priority="2357" operator="equal">
      <formula>"Catastrófico"</formula>
    </cfRule>
    <cfRule type="cellIs" dxfId="2062" priority="2358" operator="equal">
      <formula>"Mayor"</formula>
    </cfRule>
    <cfRule type="cellIs" dxfId="2061" priority="2359" operator="equal">
      <formula>"Moderado"</formula>
    </cfRule>
    <cfRule type="cellIs" dxfId="2060" priority="2360" operator="equal">
      <formula>"Menor"</formula>
    </cfRule>
    <cfRule type="cellIs" dxfId="2059" priority="2361" operator="equal">
      <formula>"Leve"</formula>
    </cfRule>
  </conditionalFormatting>
  <conditionalFormatting sqref="AF59">
    <cfRule type="cellIs" dxfId="2058" priority="2353" operator="equal">
      <formula>"Extremo"</formula>
    </cfRule>
    <cfRule type="cellIs" dxfId="2057" priority="2354" operator="equal">
      <formula>"Alto"</formula>
    </cfRule>
    <cfRule type="cellIs" dxfId="2056" priority="2355" operator="equal">
      <formula>"Moderado"</formula>
    </cfRule>
    <cfRule type="cellIs" dxfId="2055" priority="2356" operator="equal">
      <formula>"Bajo"</formula>
    </cfRule>
  </conditionalFormatting>
  <conditionalFormatting sqref="AB60">
    <cfRule type="cellIs" dxfId="2054" priority="2348" operator="equal">
      <formula>"Muy Alta"</formula>
    </cfRule>
    <cfRule type="cellIs" dxfId="2053" priority="2349" operator="equal">
      <formula>"Alta"</formula>
    </cfRule>
    <cfRule type="cellIs" dxfId="2052" priority="2350" operator="equal">
      <formula>"Media"</formula>
    </cfRule>
    <cfRule type="cellIs" dxfId="2051" priority="2351" operator="equal">
      <formula>"Baja"</formula>
    </cfRule>
    <cfRule type="cellIs" dxfId="2050" priority="2352" operator="equal">
      <formula>"Muy Baja"</formula>
    </cfRule>
  </conditionalFormatting>
  <conditionalFormatting sqref="AD60">
    <cfRule type="cellIs" dxfId="2049" priority="2343" operator="equal">
      <formula>"Catastrófico"</formula>
    </cfRule>
    <cfRule type="cellIs" dxfId="2048" priority="2344" operator="equal">
      <formula>"Mayor"</formula>
    </cfRule>
    <cfRule type="cellIs" dxfId="2047" priority="2345" operator="equal">
      <formula>"Moderado"</formula>
    </cfRule>
    <cfRule type="cellIs" dxfId="2046" priority="2346" operator="equal">
      <formula>"Menor"</formula>
    </cfRule>
    <cfRule type="cellIs" dxfId="2045" priority="2347" operator="equal">
      <formula>"Leve"</formula>
    </cfRule>
  </conditionalFormatting>
  <conditionalFormatting sqref="AF60">
    <cfRule type="cellIs" dxfId="2044" priority="2339" operator="equal">
      <formula>"Extremo"</formula>
    </cfRule>
    <cfRule type="cellIs" dxfId="2043" priority="2340" operator="equal">
      <formula>"Alto"</formula>
    </cfRule>
    <cfRule type="cellIs" dxfId="2042" priority="2341" operator="equal">
      <formula>"Moderado"</formula>
    </cfRule>
    <cfRule type="cellIs" dxfId="2041" priority="2342" operator="equal">
      <formula>"Bajo"</formula>
    </cfRule>
  </conditionalFormatting>
  <conditionalFormatting sqref="AB62">
    <cfRule type="cellIs" dxfId="2040" priority="2334" operator="equal">
      <formula>"Muy Alta"</formula>
    </cfRule>
    <cfRule type="cellIs" dxfId="2039" priority="2335" operator="equal">
      <formula>"Alta"</formula>
    </cfRule>
    <cfRule type="cellIs" dxfId="2038" priority="2336" operator="equal">
      <formula>"Media"</formula>
    </cfRule>
    <cfRule type="cellIs" dxfId="2037" priority="2337" operator="equal">
      <formula>"Baja"</formula>
    </cfRule>
    <cfRule type="cellIs" dxfId="2036" priority="2338" operator="equal">
      <formula>"Muy Baja"</formula>
    </cfRule>
  </conditionalFormatting>
  <conditionalFormatting sqref="AD62">
    <cfRule type="cellIs" dxfId="2035" priority="2329" operator="equal">
      <formula>"Catastrófico"</formula>
    </cfRule>
    <cfRule type="cellIs" dxfId="2034" priority="2330" operator="equal">
      <formula>"Mayor"</formula>
    </cfRule>
    <cfRule type="cellIs" dxfId="2033" priority="2331" operator="equal">
      <formula>"Moderado"</formula>
    </cfRule>
    <cfRule type="cellIs" dxfId="2032" priority="2332" operator="equal">
      <formula>"Menor"</formula>
    </cfRule>
    <cfRule type="cellIs" dxfId="2031" priority="2333" operator="equal">
      <formula>"Leve"</formula>
    </cfRule>
  </conditionalFormatting>
  <conditionalFormatting sqref="AF62">
    <cfRule type="cellIs" dxfId="2030" priority="2325" operator="equal">
      <formula>"Extremo"</formula>
    </cfRule>
    <cfRule type="cellIs" dxfId="2029" priority="2326" operator="equal">
      <formula>"Alto"</formula>
    </cfRule>
    <cfRule type="cellIs" dxfId="2028" priority="2327" operator="equal">
      <formula>"Moderado"</formula>
    </cfRule>
    <cfRule type="cellIs" dxfId="2027" priority="2328" operator="equal">
      <formula>"Bajo"</formula>
    </cfRule>
  </conditionalFormatting>
  <conditionalFormatting sqref="AB63">
    <cfRule type="cellIs" dxfId="2026" priority="2320" operator="equal">
      <formula>"Muy Alta"</formula>
    </cfRule>
    <cfRule type="cellIs" dxfId="2025" priority="2321" operator="equal">
      <formula>"Alta"</formula>
    </cfRule>
    <cfRule type="cellIs" dxfId="2024" priority="2322" operator="equal">
      <formula>"Media"</formula>
    </cfRule>
    <cfRule type="cellIs" dxfId="2023" priority="2323" operator="equal">
      <formula>"Baja"</formula>
    </cfRule>
    <cfRule type="cellIs" dxfId="2022" priority="2324" operator="equal">
      <formula>"Muy Baja"</formula>
    </cfRule>
  </conditionalFormatting>
  <conditionalFormatting sqref="AD63">
    <cfRule type="cellIs" dxfId="2021" priority="2315" operator="equal">
      <formula>"Catastrófico"</formula>
    </cfRule>
    <cfRule type="cellIs" dxfId="2020" priority="2316" operator="equal">
      <formula>"Mayor"</formula>
    </cfRule>
    <cfRule type="cellIs" dxfId="2019" priority="2317" operator="equal">
      <formula>"Moderado"</formula>
    </cfRule>
    <cfRule type="cellIs" dxfId="2018" priority="2318" operator="equal">
      <formula>"Menor"</formula>
    </cfRule>
    <cfRule type="cellIs" dxfId="2017" priority="2319" operator="equal">
      <formula>"Leve"</formula>
    </cfRule>
  </conditionalFormatting>
  <conditionalFormatting sqref="AF63">
    <cfRule type="cellIs" dxfId="2016" priority="2311" operator="equal">
      <formula>"Extremo"</formula>
    </cfRule>
    <cfRule type="cellIs" dxfId="2015" priority="2312" operator="equal">
      <formula>"Alto"</formula>
    </cfRule>
    <cfRule type="cellIs" dxfId="2014" priority="2313" operator="equal">
      <formula>"Moderado"</formula>
    </cfRule>
    <cfRule type="cellIs" dxfId="2013" priority="2314" operator="equal">
      <formula>"Bajo"</formula>
    </cfRule>
  </conditionalFormatting>
  <conditionalFormatting sqref="AB65">
    <cfRule type="cellIs" dxfId="2012" priority="2306" operator="equal">
      <formula>"Muy Alta"</formula>
    </cfRule>
    <cfRule type="cellIs" dxfId="2011" priority="2307" operator="equal">
      <formula>"Alta"</formula>
    </cfRule>
    <cfRule type="cellIs" dxfId="2010" priority="2308" operator="equal">
      <formula>"Media"</formula>
    </cfRule>
    <cfRule type="cellIs" dxfId="2009" priority="2309" operator="equal">
      <formula>"Baja"</formula>
    </cfRule>
    <cfRule type="cellIs" dxfId="2008" priority="2310" operator="equal">
      <formula>"Muy Baja"</formula>
    </cfRule>
  </conditionalFormatting>
  <conditionalFormatting sqref="AD65">
    <cfRule type="cellIs" dxfId="2007" priority="2301" operator="equal">
      <formula>"Catastrófico"</formula>
    </cfRule>
    <cfRule type="cellIs" dxfId="2006" priority="2302" operator="equal">
      <formula>"Mayor"</formula>
    </cfRule>
    <cfRule type="cellIs" dxfId="2005" priority="2303" operator="equal">
      <formula>"Moderado"</formula>
    </cfRule>
    <cfRule type="cellIs" dxfId="2004" priority="2304" operator="equal">
      <formula>"Menor"</formula>
    </cfRule>
    <cfRule type="cellIs" dxfId="2003" priority="2305" operator="equal">
      <formula>"Leve"</formula>
    </cfRule>
  </conditionalFormatting>
  <conditionalFormatting sqref="AF65">
    <cfRule type="cellIs" dxfId="2002" priority="2297" operator="equal">
      <formula>"Extremo"</formula>
    </cfRule>
    <cfRule type="cellIs" dxfId="2001" priority="2298" operator="equal">
      <formula>"Alto"</formula>
    </cfRule>
    <cfRule type="cellIs" dxfId="2000" priority="2299" operator="equal">
      <formula>"Moderado"</formula>
    </cfRule>
    <cfRule type="cellIs" dxfId="1999" priority="2300" operator="equal">
      <formula>"Bajo"</formula>
    </cfRule>
  </conditionalFormatting>
  <conditionalFormatting sqref="AB66">
    <cfRule type="cellIs" dxfId="1998" priority="2292" operator="equal">
      <formula>"Muy Alta"</formula>
    </cfRule>
    <cfRule type="cellIs" dxfId="1997" priority="2293" operator="equal">
      <formula>"Alta"</formula>
    </cfRule>
    <cfRule type="cellIs" dxfId="1996" priority="2294" operator="equal">
      <formula>"Media"</formula>
    </cfRule>
    <cfRule type="cellIs" dxfId="1995" priority="2295" operator="equal">
      <formula>"Baja"</formula>
    </cfRule>
    <cfRule type="cellIs" dxfId="1994" priority="2296" operator="equal">
      <formula>"Muy Baja"</formula>
    </cfRule>
  </conditionalFormatting>
  <conditionalFormatting sqref="AD66">
    <cfRule type="cellIs" dxfId="1993" priority="2287" operator="equal">
      <formula>"Catastrófico"</formula>
    </cfRule>
    <cfRule type="cellIs" dxfId="1992" priority="2288" operator="equal">
      <formula>"Mayor"</formula>
    </cfRule>
    <cfRule type="cellIs" dxfId="1991" priority="2289" operator="equal">
      <formula>"Moderado"</formula>
    </cfRule>
    <cfRule type="cellIs" dxfId="1990" priority="2290" operator="equal">
      <formula>"Menor"</formula>
    </cfRule>
    <cfRule type="cellIs" dxfId="1989" priority="2291" operator="equal">
      <formula>"Leve"</formula>
    </cfRule>
  </conditionalFormatting>
  <conditionalFormatting sqref="AF66">
    <cfRule type="cellIs" dxfId="1988" priority="2283" operator="equal">
      <formula>"Extremo"</formula>
    </cfRule>
    <cfRule type="cellIs" dxfId="1987" priority="2284" operator="equal">
      <formula>"Alto"</formula>
    </cfRule>
    <cfRule type="cellIs" dxfId="1986" priority="2285" operator="equal">
      <formula>"Moderado"</formula>
    </cfRule>
    <cfRule type="cellIs" dxfId="1985" priority="2286" operator="equal">
      <formula>"Bajo"</formula>
    </cfRule>
  </conditionalFormatting>
  <conditionalFormatting sqref="AB70">
    <cfRule type="cellIs" dxfId="1984" priority="2278" operator="equal">
      <formula>"Muy Alta"</formula>
    </cfRule>
    <cfRule type="cellIs" dxfId="1983" priority="2279" operator="equal">
      <formula>"Alta"</formula>
    </cfRule>
    <cfRule type="cellIs" dxfId="1982" priority="2280" operator="equal">
      <formula>"Media"</formula>
    </cfRule>
    <cfRule type="cellIs" dxfId="1981" priority="2281" operator="equal">
      <formula>"Baja"</formula>
    </cfRule>
    <cfRule type="cellIs" dxfId="1980" priority="2282" operator="equal">
      <formula>"Muy Baja"</formula>
    </cfRule>
  </conditionalFormatting>
  <conditionalFormatting sqref="AD70">
    <cfRule type="cellIs" dxfId="1979" priority="2273" operator="equal">
      <formula>"Catastrófico"</formula>
    </cfRule>
    <cfRule type="cellIs" dxfId="1978" priority="2274" operator="equal">
      <formula>"Mayor"</formula>
    </cfRule>
    <cfRule type="cellIs" dxfId="1977" priority="2275" operator="equal">
      <formula>"Moderado"</formula>
    </cfRule>
    <cfRule type="cellIs" dxfId="1976" priority="2276" operator="equal">
      <formula>"Menor"</formula>
    </cfRule>
    <cfRule type="cellIs" dxfId="1975" priority="2277" operator="equal">
      <formula>"Leve"</formula>
    </cfRule>
  </conditionalFormatting>
  <conditionalFormatting sqref="AF70">
    <cfRule type="cellIs" dxfId="1974" priority="2269" operator="equal">
      <formula>"Extremo"</formula>
    </cfRule>
    <cfRule type="cellIs" dxfId="1973" priority="2270" operator="equal">
      <formula>"Alto"</formula>
    </cfRule>
    <cfRule type="cellIs" dxfId="1972" priority="2271" operator="equal">
      <formula>"Moderado"</formula>
    </cfRule>
    <cfRule type="cellIs" dxfId="1971" priority="2272" operator="equal">
      <formula>"Bajo"</formula>
    </cfRule>
  </conditionalFormatting>
  <conditionalFormatting sqref="AB71">
    <cfRule type="cellIs" dxfId="1970" priority="2264" operator="equal">
      <formula>"Muy Alta"</formula>
    </cfRule>
    <cfRule type="cellIs" dxfId="1969" priority="2265" operator="equal">
      <formula>"Alta"</formula>
    </cfRule>
    <cfRule type="cellIs" dxfId="1968" priority="2266" operator="equal">
      <formula>"Media"</formula>
    </cfRule>
    <cfRule type="cellIs" dxfId="1967" priority="2267" operator="equal">
      <formula>"Baja"</formula>
    </cfRule>
    <cfRule type="cellIs" dxfId="1966" priority="2268" operator="equal">
      <formula>"Muy Baja"</formula>
    </cfRule>
  </conditionalFormatting>
  <conditionalFormatting sqref="AD71">
    <cfRule type="cellIs" dxfId="1965" priority="2259" operator="equal">
      <formula>"Catastrófico"</formula>
    </cfRule>
    <cfRule type="cellIs" dxfId="1964" priority="2260" operator="equal">
      <formula>"Mayor"</formula>
    </cfRule>
    <cfRule type="cellIs" dxfId="1963" priority="2261" operator="equal">
      <formula>"Moderado"</formula>
    </cfRule>
    <cfRule type="cellIs" dxfId="1962" priority="2262" operator="equal">
      <formula>"Menor"</formula>
    </cfRule>
    <cfRule type="cellIs" dxfId="1961" priority="2263" operator="equal">
      <formula>"Leve"</formula>
    </cfRule>
  </conditionalFormatting>
  <conditionalFormatting sqref="AF71">
    <cfRule type="cellIs" dxfId="1960" priority="2255" operator="equal">
      <formula>"Extremo"</formula>
    </cfRule>
    <cfRule type="cellIs" dxfId="1959" priority="2256" operator="equal">
      <formula>"Alto"</formula>
    </cfRule>
    <cfRule type="cellIs" dxfId="1958" priority="2257" operator="equal">
      <formula>"Moderado"</formula>
    </cfRule>
    <cfRule type="cellIs" dxfId="1957" priority="2258" operator="equal">
      <formula>"Bajo"</formula>
    </cfRule>
  </conditionalFormatting>
  <conditionalFormatting sqref="AB72">
    <cfRule type="cellIs" dxfId="1956" priority="2250" operator="equal">
      <formula>"Muy Alta"</formula>
    </cfRule>
    <cfRule type="cellIs" dxfId="1955" priority="2251" operator="equal">
      <formula>"Alta"</formula>
    </cfRule>
    <cfRule type="cellIs" dxfId="1954" priority="2252" operator="equal">
      <formula>"Media"</formula>
    </cfRule>
    <cfRule type="cellIs" dxfId="1953" priority="2253" operator="equal">
      <formula>"Baja"</formula>
    </cfRule>
    <cfRule type="cellIs" dxfId="1952" priority="2254" operator="equal">
      <formula>"Muy Baja"</formula>
    </cfRule>
  </conditionalFormatting>
  <conditionalFormatting sqref="AD72">
    <cfRule type="cellIs" dxfId="1951" priority="2245" operator="equal">
      <formula>"Catastrófico"</formula>
    </cfRule>
    <cfRule type="cellIs" dxfId="1950" priority="2246" operator="equal">
      <formula>"Mayor"</formula>
    </cfRule>
    <cfRule type="cellIs" dxfId="1949" priority="2247" operator="equal">
      <formula>"Moderado"</formula>
    </cfRule>
    <cfRule type="cellIs" dxfId="1948" priority="2248" operator="equal">
      <formula>"Menor"</formula>
    </cfRule>
    <cfRule type="cellIs" dxfId="1947" priority="2249" operator="equal">
      <formula>"Leve"</formula>
    </cfRule>
  </conditionalFormatting>
  <conditionalFormatting sqref="AF72">
    <cfRule type="cellIs" dxfId="1946" priority="2241" operator="equal">
      <formula>"Extremo"</formula>
    </cfRule>
    <cfRule type="cellIs" dxfId="1945" priority="2242" operator="equal">
      <formula>"Alto"</formula>
    </cfRule>
    <cfRule type="cellIs" dxfId="1944" priority="2243" operator="equal">
      <formula>"Moderado"</formula>
    </cfRule>
    <cfRule type="cellIs" dxfId="1943" priority="2244" operator="equal">
      <formula>"Bajo"</formula>
    </cfRule>
  </conditionalFormatting>
  <conditionalFormatting sqref="AB74">
    <cfRule type="cellIs" dxfId="1942" priority="2236" operator="equal">
      <formula>"Muy Alta"</formula>
    </cfRule>
    <cfRule type="cellIs" dxfId="1941" priority="2237" operator="equal">
      <formula>"Alta"</formula>
    </cfRule>
    <cfRule type="cellIs" dxfId="1940" priority="2238" operator="equal">
      <formula>"Media"</formula>
    </cfRule>
    <cfRule type="cellIs" dxfId="1939" priority="2239" operator="equal">
      <formula>"Baja"</formula>
    </cfRule>
    <cfRule type="cellIs" dxfId="1938" priority="2240" operator="equal">
      <formula>"Muy Baja"</formula>
    </cfRule>
  </conditionalFormatting>
  <conditionalFormatting sqref="AD74">
    <cfRule type="cellIs" dxfId="1937" priority="2231" operator="equal">
      <formula>"Catastrófico"</formula>
    </cfRule>
    <cfRule type="cellIs" dxfId="1936" priority="2232" operator="equal">
      <formula>"Mayor"</formula>
    </cfRule>
    <cfRule type="cellIs" dxfId="1935" priority="2233" operator="equal">
      <formula>"Moderado"</formula>
    </cfRule>
    <cfRule type="cellIs" dxfId="1934" priority="2234" operator="equal">
      <formula>"Menor"</formula>
    </cfRule>
    <cfRule type="cellIs" dxfId="1933" priority="2235" operator="equal">
      <formula>"Leve"</formula>
    </cfRule>
  </conditionalFormatting>
  <conditionalFormatting sqref="AF74">
    <cfRule type="cellIs" dxfId="1932" priority="2227" operator="equal">
      <formula>"Extremo"</formula>
    </cfRule>
    <cfRule type="cellIs" dxfId="1931" priority="2228" operator="equal">
      <formula>"Alto"</formula>
    </cfRule>
    <cfRule type="cellIs" dxfId="1930" priority="2229" operator="equal">
      <formula>"Moderado"</formula>
    </cfRule>
    <cfRule type="cellIs" dxfId="1929" priority="2230" operator="equal">
      <formula>"Bajo"</formula>
    </cfRule>
  </conditionalFormatting>
  <conditionalFormatting sqref="AB73">
    <cfRule type="cellIs" dxfId="1928" priority="2222" operator="equal">
      <formula>"Muy Alta"</formula>
    </cfRule>
    <cfRule type="cellIs" dxfId="1927" priority="2223" operator="equal">
      <formula>"Alta"</formula>
    </cfRule>
    <cfRule type="cellIs" dxfId="1926" priority="2224" operator="equal">
      <formula>"Media"</formula>
    </cfRule>
    <cfRule type="cellIs" dxfId="1925" priority="2225" operator="equal">
      <formula>"Baja"</formula>
    </cfRule>
    <cfRule type="cellIs" dxfId="1924" priority="2226" operator="equal">
      <formula>"Muy Baja"</formula>
    </cfRule>
  </conditionalFormatting>
  <conditionalFormatting sqref="AD73">
    <cfRule type="cellIs" dxfId="1923" priority="2217" operator="equal">
      <formula>"Catastrófico"</formula>
    </cfRule>
    <cfRule type="cellIs" dxfId="1922" priority="2218" operator="equal">
      <formula>"Mayor"</formula>
    </cfRule>
    <cfRule type="cellIs" dxfId="1921" priority="2219" operator="equal">
      <formula>"Moderado"</formula>
    </cfRule>
    <cfRule type="cellIs" dxfId="1920" priority="2220" operator="equal">
      <formula>"Menor"</formula>
    </cfRule>
    <cfRule type="cellIs" dxfId="1919" priority="2221" operator="equal">
      <formula>"Leve"</formula>
    </cfRule>
  </conditionalFormatting>
  <conditionalFormatting sqref="AF73">
    <cfRule type="cellIs" dxfId="1918" priority="2213" operator="equal">
      <formula>"Extremo"</formula>
    </cfRule>
    <cfRule type="cellIs" dxfId="1917" priority="2214" operator="equal">
      <formula>"Alto"</formula>
    </cfRule>
    <cfRule type="cellIs" dxfId="1916" priority="2215" operator="equal">
      <formula>"Moderado"</formula>
    </cfRule>
    <cfRule type="cellIs" dxfId="1915" priority="2216" operator="equal">
      <formula>"Bajo"</formula>
    </cfRule>
  </conditionalFormatting>
  <conditionalFormatting sqref="AB75">
    <cfRule type="cellIs" dxfId="1914" priority="2208" operator="equal">
      <formula>"Muy Alta"</formula>
    </cfRule>
    <cfRule type="cellIs" dxfId="1913" priority="2209" operator="equal">
      <formula>"Alta"</formula>
    </cfRule>
    <cfRule type="cellIs" dxfId="1912" priority="2210" operator="equal">
      <formula>"Media"</formula>
    </cfRule>
    <cfRule type="cellIs" dxfId="1911" priority="2211" operator="equal">
      <formula>"Baja"</formula>
    </cfRule>
    <cfRule type="cellIs" dxfId="1910" priority="2212" operator="equal">
      <formula>"Muy Baja"</formula>
    </cfRule>
  </conditionalFormatting>
  <conditionalFormatting sqref="AD75">
    <cfRule type="cellIs" dxfId="1909" priority="2203" operator="equal">
      <formula>"Catastrófico"</formula>
    </cfRule>
    <cfRule type="cellIs" dxfId="1908" priority="2204" operator="equal">
      <formula>"Mayor"</formula>
    </cfRule>
    <cfRule type="cellIs" dxfId="1907" priority="2205" operator="equal">
      <formula>"Moderado"</formula>
    </cfRule>
    <cfRule type="cellIs" dxfId="1906" priority="2206" operator="equal">
      <formula>"Menor"</formula>
    </cfRule>
    <cfRule type="cellIs" dxfId="1905" priority="2207" operator="equal">
      <formula>"Leve"</formula>
    </cfRule>
  </conditionalFormatting>
  <conditionalFormatting sqref="AF75">
    <cfRule type="cellIs" dxfId="1904" priority="2199" operator="equal">
      <formula>"Extremo"</formula>
    </cfRule>
    <cfRule type="cellIs" dxfId="1903" priority="2200" operator="equal">
      <formula>"Alto"</formula>
    </cfRule>
    <cfRule type="cellIs" dxfId="1902" priority="2201" operator="equal">
      <formula>"Moderado"</formula>
    </cfRule>
    <cfRule type="cellIs" dxfId="1901" priority="2202" operator="equal">
      <formula>"Bajo"</formula>
    </cfRule>
  </conditionalFormatting>
  <conditionalFormatting sqref="AB77">
    <cfRule type="cellIs" dxfId="1900" priority="2194" operator="equal">
      <formula>"Muy Alta"</formula>
    </cfRule>
    <cfRule type="cellIs" dxfId="1899" priority="2195" operator="equal">
      <formula>"Alta"</formula>
    </cfRule>
    <cfRule type="cellIs" dxfId="1898" priority="2196" operator="equal">
      <formula>"Media"</formula>
    </cfRule>
    <cfRule type="cellIs" dxfId="1897" priority="2197" operator="equal">
      <formula>"Baja"</formula>
    </cfRule>
    <cfRule type="cellIs" dxfId="1896" priority="2198" operator="equal">
      <formula>"Muy Baja"</formula>
    </cfRule>
  </conditionalFormatting>
  <conditionalFormatting sqref="AD77">
    <cfRule type="cellIs" dxfId="1895" priority="2189" operator="equal">
      <formula>"Catastrófico"</formula>
    </cfRule>
    <cfRule type="cellIs" dxfId="1894" priority="2190" operator="equal">
      <formula>"Mayor"</formula>
    </cfRule>
    <cfRule type="cellIs" dxfId="1893" priority="2191" operator="equal">
      <formula>"Moderado"</formula>
    </cfRule>
    <cfRule type="cellIs" dxfId="1892" priority="2192" operator="equal">
      <formula>"Menor"</formula>
    </cfRule>
    <cfRule type="cellIs" dxfId="1891" priority="2193" operator="equal">
      <formula>"Leve"</formula>
    </cfRule>
  </conditionalFormatting>
  <conditionalFormatting sqref="AF77">
    <cfRule type="cellIs" dxfId="1890" priority="2185" operator="equal">
      <formula>"Extremo"</formula>
    </cfRule>
    <cfRule type="cellIs" dxfId="1889" priority="2186" operator="equal">
      <formula>"Alto"</formula>
    </cfRule>
    <cfRule type="cellIs" dxfId="1888" priority="2187" operator="equal">
      <formula>"Moderado"</formula>
    </cfRule>
    <cfRule type="cellIs" dxfId="1887" priority="2188" operator="equal">
      <formula>"Bajo"</formula>
    </cfRule>
  </conditionalFormatting>
  <conditionalFormatting sqref="AB78">
    <cfRule type="cellIs" dxfId="1886" priority="2180" operator="equal">
      <formula>"Muy Alta"</formula>
    </cfRule>
    <cfRule type="cellIs" dxfId="1885" priority="2181" operator="equal">
      <formula>"Alta"</formula>
    </cfRule>
    <cfRule type="cellIs" dxfId="1884" priority="2182" operator="equal">
      <formula>"Media"</formula>
    </cfRule>
    <cfRule type="cellIs" dxfId="1883" priority="2183" operator="equal">
      <formula>"Baja"</formula>
    </cfRule>
    <cfRule type="cellIs" dxfId="1882" priority="2184" operator="equal">
      <formula>"Muy Baja"</formula>
    </cfRule>
  </conditionalFormatting>
  <conditionalFormatting sqref="AD78">
    <cfRule type="cellIs" dxfId="1881" priority="2175" operator="equal">
      <formula>"Catastrófico"</formula>
    </cfRule>
    <cfRule type="cellIs" dxfId="1880" priority="2176" operator="equal">
      <formula>"Mayor"</formula>
    </cfRule>
    <cfRule type="cellIs" dxfId="1879" priority="2177" operator="equal">
      <formula>"Moderado"</formula>
    </cfRule>
    <cfRule type="cellIs" dxfId="1878" priority="2178" operator="equal">
      <formula>"Menor"</formula>
    </cfRule>
    <cfRule type="cellIs" dxfId="1877" priority="2179" operator="equal">
      <formula>"Leve"</formula>
    </cfRule>
  </conditionalFormatting>
  <conditionalFormatting sqref="AF78">
    <cfRule type="cellIs" dxfId="1876" priority="2171" operator="equal">
      <formula>"Extremo"</formula>
    </cfRule>
    <cfRule type="cellIs" dxfId="1875" priority="2172" operator="equal">
      <formula>"Alto"</formula>
    </cfRule>
    <cfRule type="cellIs" dxfId="1874" priority="2173" operator="equal">
      <formula>"Moderado"</formula>
    </cfRule>
    <cfRule type="cellIs" dxfId="1873" priority="2174" operator="equal">
      <formula>"Bajo"</formula>
    </cfRule>
  </conditionalFormatting>
  <conditionalFormatting sqref="AB80">
    <cfRule type="cellIs" dxfId="1872" priority="2166" operator="equal">
      <formula>"Muy Alta"</formula>
    </cfRule>
    <cfRule type="cellIs" dxfId="1871" priority="2167" operator="equal">
      <formula>"Alta"</formula>
    </cfRule>
    <cfRule type="cellIs" dxfId="1870" priority="2168" operator="equal">
      <formula>"Media"</formula>
    </cfRule>
    <cfRule type="cellIs" dxfId="1869" priority="2169" operator="equal">
      <formula>"Baja"</formula>
    </cfRule>
    <cfRule type="cellIs" dxfId="1868" priority="2170" operator="equal">
      <formula>"Muy Baja"</formula>
    </cfRule>
  </conditionalFormatting>
  <conditionalFormatting sqref="AD80">
    <cfRule type="cellIs" dxfId="1867" priority="2161" operator="equal">
      <formula>"Catastrófico"</formula>
    </cfRule>
    <cfRule type="cellIs" dxfId="1866" priority="2162" operator="equal">
      <formula>"Mayor"</formula>
    </cfRule>
    <cfRule type="cellIs" dxfId="1865" priority="2163" operator="equal">
      <formula>"Moderado"</formula>
    </cfRule>
    <cfRule type="cellIs" dxfId="1864" priority="2164" operator="equal">
      <formula>"Menor"</formula>
    </cfRule>
    <cfRule type="cellIs" dxfId="1863" priority="2165" operator="equal">
      <formula>"Leve"</formula>
    </cfRule>
  </conditionalFormatting>
  <conditionalFormatting sqref="AF80">
    <cfRule type="cellIs" dxfId="1862" priority="2157" operator="equal">
      <formula>"Extremo"</formula>
    </cfRule>
    <cfRule type="cellIs" dxfId="1861" priority="2158" operator="equal">
      <formula>"Alto"</formula>
    </cfRule>
    <cfRule type="cellIs" dxfId="1860" priority="2159" operator="equal">
      <formula>"Moderado"</formula>
    </cfRule>
    <cfRule type="cellIs" dxfId="1859" priority="2160" operator="equal">
      <formula>"Bajo"</formula>
    </cfRule>
  </conditionalFormatting>
  <conditionalFormatting sqref="AB81">
    <cfRule type="cellIs" dxfId="1858" priority="2152" operator="equal">
      <formula>"Muy Alta"</formula>
    </cfRule>
    <cfRule type="cellIs" dxfId="1857" priority="2153" operator="equal">
      <formula>"Alta"</formula>
    </cfRule>
    <cfRule type="cellIs" dxfId="1856" priority="2154" operator="equal">
      <formula>"Media"</formula>
    </cfRule>
    <cfRule type="cellIs" dxfId="1855" priority="2155" operator="equal">
      <formula>"Baja"</formula>
    </cfRule>
    <cfRule type="cellIs" dxfId="1854" priority="2156" operator="equal">
      <formula>"Muy Baja"</formula>
    </cfRule>
  </conditionalFormatting>
  <conditionalFormatting sqref="AD81">
    <cfRule type="cellIs" dxfId="1853" priority="2147" operator="equal">
      <formula>"Catastrófico"</formula>
    </cfRule>
    <cfRule type="cellIs" dxfId="1852" priority="2148" operator="equal">
      <formula>"Mayor"</formula>
    </cfRule>
    <cfRule type="cellIs" dxfId="1851" priority="2149" operator="equal">
      <formula>"Moderado"</formula>
    </cfRule>
    <cfRule type="cellIs" dxfId="1850" priority="2150" operator="equal">
      <formula>"Menor"</formula>
    </cfRule>
    <cfRule type="cellIs" dxfId="1849" priority="2151" operator="equal">
      <formula>"Leve"</formula>
    </cfRule>
  </conditionalFormatting>
  <conditionalFormatting sqref="AF81">
    <cfRule type="cellIs" dxfId="1848" priority="2143" operator="equal">
      <formula>"Extremo"</formula>
    </cfRule>
    <cfRule type="cellIs" dxfId="1847" priority="2144" operator="equal">
      <formula>"Alto"</formula>
    </cfRule>
    <cfRule type="cellIs" dxfId="1846" priority="2145" operator="equal">
      <formula>"Moderado"</formula>
    </cfRule>
    <cfRule type="cellIs" dxfId="1845" priority="2146" operator="equal">
      <formula>"Bajo"</formula>
    </cfRule>
  </conditionalFormatting>
  <conditionalFormatting sqref="AB86">
    <cfRule type="cellIs" dxfId="1844" priority="2138" operator="equal">
      <formula>"Muy Alta"</formula>
    </cfRule>
    <cfRule type="cellIs" dxfId="1843" priority="2139" operator="equal">
      <formula>"Alta"</formula>
    </cfRule>
    <cfRule type="cellIs" dxfId="1842" priority="2140" operator="equal">
      <formula>"Media"</formula>
    </cfRule>
    <cfRule type="cellIs" dxfId="1841" priority="2141" operator="equal">
      <formula>"Baja"</formula>
    </cfRule>
    <cfRule type="cellIs" dxfId="1840" priority="2142" operator="equal">
      <formula>"Muy Baja"</formula>
    </cfRule>
  </conditionalFormatting>
  <conditionalFormatting sqref="AD86">
    <cfRule type="cellIs" dxfId="1839" priority="2133" operator="equal">
      <formula>"Catastrófico"</formula>
    </cfRule>
    <cfRule type="cellIs" dxfId="1838" priority="2134" operator="equal">
      <formula>"Mayor"</formula>
    </cfRule>
    <cfRule type="cellIs" dxfId="1837" priority="2135" operator="equal">
      <formula>"Moderado"</formula>
    </cfRule>
    <cfRule type="cellIs" dxfId="1836" priority="2136" operator="equal">
      <formula>"Menor"</formula>
    </cfRule>
    <cfRule type="cellIs" dxfId="1835" priority="2137" operator="equal">
      <formula>"Leve"</formula>
    </cfRule>
  </conditionalFormatting>
  <conditionalFormatting sqref="AF86">
    <cfRule type="cellIs" dxfId="1834" priority="2129" operator="equal">
      <formula>"Extremo"</formula>
    </cfRule>
    <cfRule type="cellIs" dxfId="1833" priority="2130" operator="equal">
      <formula>"Alto"</formula>
    </cfRule>
    <cfRule type="cellIs" dxfId="1832" priority="2131" operator="equal">
      <formula>"Moderado"</formula>
    </cfRule>
    <cfRule type="cellIs" dxfId="1831" priority="2132" operator="equal">
      <formula>"Bajo"</formula>
    </cfRule>
  </conditionalFormatting>
  <conditionalFormatting sqref="AB87">
    <cfRule type="cellIs" dxfId="1830" priority="2124" operator="equal">
      <formula>"Muy Alta"</formula>
    </cfRule>
    <cfRule type="cellIs" dxfId="1829" priority="2125" operator="equal">
      <formula>"Alta"</formula>
    </cfRule>
    <cfRule type="cellIs" dxfId="1828" priority="2126" operator="equal">
      <formula>"Media"</formula>
    </cfRule>
    <cfRule type="cellIs" dxfId="1827" priority="2127" operator="equal">
      <formula>"Baja"</formula>
    </cfRule>
    <cfRule type="cellIs" dxfId="1826" priority="2128" operator="equal">
      <formula>"Muy Baja"</formula>
    </cfRule>
  </conditionalFormatting>
  <conditionalFormatting sqref="AD87">
    <cfRule type="cellIs" dxfId="1825" priority="2119" operator="equal">
      <formula>"Catastrófico"</formula>
    </cfRule>
    <cfRule type="cellIs" dxfId="1824" priority="2120" operator="equal">
      <formula>"Mayor"</formula>
    </cfRule>
    <cfRule type="cellIs" dxfId="1823" priority="2121" operator="equal">
      <formula>"Moderado"</formula>
    </cfRule>
    <cfRule type="cellIs" dxfId="1822" priority="2122" operator="equal">
      <formula>"Menor"</formula>
    </cfRule>
    <cfRule type="cellIs" dxfId="1821" priority="2123" operator="equal">
      <formula>"Leve"</formula>
    </cfRule>
  </conditionalFormatting>
  <conditionalFormatting sqref="AF87">
    <cfRule type="cellIs" dxfId="1820" priority="2115" operator="equal">
      <formula>"Extremo"</formula>
    </cfRule>
    <cfRule type="cellIs" dxfId="1819" priority="2116" operator="equal">
      <formula>"Alto"</formula>
    </cfRule>
    <cfRule type="cellIs" dxfId="1818" priority="2117" operator="equal">
      <formula>"Moderado"</formula>
    </cfRule>
    <cfRule type="cellIs" dxfId="1817" priority="2118" operator="equal">
      <formula>"Bajo"</formula>
    </cfRule>
  </conditionalFormatting>
  <conditionalFormatting sqref="AB89">
    <cfRule type="cellIs" dxfId="1816" priority="2110" operator="equal">
      <formula>"Muy Alta"</formula>
    </cfRule>
    <cfRule type="cellIs" dxfId="1815" priority="2111" operator="equal">
      <formula>"Alta"</formula>
    </cfRule>
    <cfRule type="cellIs" dxfId="1814" priority="2112" operator="equal">
      <formula>"Media"</formula>
    </cfRule>
    <cfRule type="cellIs" dxfId="1813" priority="2113" operator="equal">
      <formula>"Baja"</formula>
    </cfRule>
    <cfRule type="cellIs" dxfId="1812" priority="2114" operator="equal">
      <formula>"Muy Baja"</formula>
    </cfRule>
  </conditionalFormatting>
  <conditionalFormatting sqref="AD89">
    <cfRule type="cellIs" dxfId="1811" priority="2105" operator="equal">
      <formula>"Catastrófico"</formula>
    </cfRule>
    <cfRule type="cellIs" dxfId="1810" priority="2106" operator="equal">
      <formula>"Mayor"</formula>
    </cfRule>
    <cfRule type="cellIs" dxfId="1809" priority="2107" operator="equal">
      <formula>"Moderado"</formula>
    </cfRule>
    <cfRule type="cellIs" dxfId="1808" priority="2108" operator="equal">
      <formula>"Menor"</formula>
    </cfRule>
    <cfRule type="cellIs" dxfId="1807" priority="2109" operator="equal">
      <formula>"Leve"</formula>
    </cfRule>
  </conditionalFormatting>
  <conditionalFormatting sqref="AF89">
    <cfRule type="cellIs" dxfId="1806" priority="2101" operator="equal">
      <formula>"Extremo"</formula>
    </cfRule>
    <cfRule type="cellIs" dxfId="1805" priority="2102" operator="equal">
      <formula>"Alto"</formula>
    </cfRule>
    <cfRule type="cellIs" dxfId="1804" priority="2103" operator="equal">
      <formula>"Moderado"</formula>
    </cfRule>
    <cfRule type="cellIs" dxfId="1803" priority="2104" operator="equal">
      <formula>"Bajo"</formula>
    </cfRule>
  </conditionalFormatting>
  <conditionalFormatting sqref="AB91">
    <cfRule type="cellIs" dxfId="1802" priority="2096" operator="equal">
      <formula>"Muy Alta"</formula>
    </cfRule>
    <cfRule type="cellIs" dxfId="1801" priority="2097" operator="equal">
      <formula>"Alta"</formula>
    </cfRule>
    <cfRule type="cellIs" dxfId="1800" priority="2098" operator="equal">
      <formula>"Media"</formula>
    </cfRule>
    <cfRule type="cellIs" dxfId="1799" priority="2099" operator="equal">
      <formula>"Baja"</formula>
    </cfRule>
    <cfRule type="cellIs" dxfId="1798" priority="2100" operator="equal">
      <formula>"Muy Baja"</formula>
    </cfRule>
  </conditionalFormatting>
  <conditionalFormatting sqref="AD91">
    <cfRule type="cellIs" dxfId="1797" priority="2091" operator="equal">
      <formula>"Catastrófico"</formula>
    </cfRule>
    <cfRule type="cellIs" dxfId="1796" priority="2092" operator="equal">
      <formula>"Mayor"</formula>
    </cfRule>
    <cfRule type="cellIs" dxfId="1795" priority="2093" operator="equal">
      <formula>"Moderado"</formula>
    </cfRule>
    <cfRule type="cellIs" dxfId="1794" priority="2094" operator="equal">
      <formula>"Menor"</formula>
    </cfRule>
    <cfRule type="cellIs" dxfId="1793" priority="2095" operator="equal">
      <formula>"Leve"</formula>
    </cfRule>
  </conditionalFormatting>
  <conditionalFormatting sqref="AF91">
    <cfRule type="cellIs" dxfId="1792" priority="2087" operator="equal">
      <formula>"Extremo"</formula>
    </cfRule>
    <cfRule type="cellIs" dxfId="1791" priority="2088" operator="equal">
      <formula>"Alto"</formula>
    </cfRule>
    <cfRule type="cellIs" dxfId="1790" priority="2089" operator="equal">
      <formula>"Moderado"</formula>
    </cfRule>
    <cfRule type="cellIs" dxfId="1789" priority="2090" operator="equal">
      <formula>"Bajo"</formula>
    </cfRule>
  </conditionalFormatting>
  <conditionalFormatting sqref="AB90">
    <cfRule type="cellIs" dxfId="1788" priority="2082" operator="equal">
      <formula>"Muy Alta"</formula>
    </cfRule>
    <cfRule type="cellIs" dxfId="1787" priority="2083" operator="equal">
      <formula>"Alta"</formula>
    </cfRule>
    <cfRule type="cellIs" dxfId="1786" priority="2084" operator="equal">
      <formula>"Media"</formula>
    </cfRule>
    <cfRule type="cellIs" dxfId="1785" priority="2085" operator="equal">
      <formula>"Baja"</formula>
    </cfRule>
    <cfRule type="cellIs" dxfId="1784" priority="2086" operator="equal">
      <formula>"Muy Baja"</formula>
    </cfRule>
  </conditionalFormatting>
  <conditionalFormatting sqref="AD90">
    <cfRule type="cellIs" dxfId="1783" priority="2077" operator="equal">
      <formula>"Catastrófico"</formula>
    </cfRule>
    <cfRule type="cellIs" dxfId="1782" priority="2078" operator="equal">
      <formula>"Mayor"</formula>
    </cfRule>
    <cfRule type="cellIs" dxfId="1781" priority="2079" operator="equal">
      <formula>"Moderado"</formula>
    </cfRule>
    <cfRule type="cellIs" dxfId="1780" priority="2080" operator="equal">
      <formula>"Menor"</formula>
    </cfRule>
    <cfRule type="cellIs" dxfId="1779" priority="2081" operator="equal">
      <formula>"Leve"</formula>
    </cfRule>
  </conditionalFormatting>
  <conditionalFormatting sqref="AF90">
    <cfRule type="cellIs" dxfId="1778" priority="2073" operator="equal">
      <formula>"Extremo"</formula>
    </cfRule>
    <cfRule type="cellIs" dxfId="1777" priority="2074" operator="equal">
      <formula>"Alto"</formula>
    </cfRule>
    <cfRule type="cellIs" dxfId="1776" priority="2075" operator="equal">
      <formula>"Moderado"</formula>
    </cfRule>
    <cfRule type="cellIs" dxfId="1775" priority="2076" operator="equal">
      <formula>"Bajo"</formula>
    </cfRule>
  </conditionalFormatting>
  <conditionalFormatting sqref="AB92">
    <cfRule type="cellIs" dxfId="1774" priority="2068" operator="equal">
      <formula>"Muy Alta"</formula>
    </cfRule>
    <cfRule type="cellIs" dxfId="1773" priority="2069" operator="equal">
      <formula>"Alta"</formula>
    </cfRule>
    <cfRule type="cellIs" dxfId="1772" priority="2070" operator="equal">
      <formula>"Media"</formula>
    </cfRule>
    <cfRule type="cellIs" dxfId="1771" priority="2071" operator="equal">
      <formula>"Baja"</formula>
    </cfRule>
    <cfRule type="cellIs" dxfId="1770" priority="2072" operator="equal">
      <formula>"Muy Baja"</formula>
    </cfRule>
  </conditionalFormatting>
  <conditionalFormatting sqref="AD92">
    <cfRule type="cellIs" dxfId="1769" priority="2063" operator="equal">
      <formula>"Catastrófico"</formula>
    </cfRule>
    <cfRule type="cellIs" dxfId="1768" priority="2064" operator="equal">
      <formula>"Mayor"</formula>
    </cfRule>
    <cfRule type="cellIs" dxfId="1767" priority="2065" operator="equal">
      <formula>"Moderado"</formula>
    </cfRule>
    <cfRule type="cellIs" dxfId="1766" priority="2066" operator="equal">
      <formula>"Menor"</formula>
    </cfRule>
    <cfRule type="cellIs" dxfId="1765" priority="2067" operator="equal">
      <formula>"Leve"</formula>
    </cfRule>
  </conditionalFormatting>
  <conditionalFormatting sqref="AF92">
    <cfRule type="cellIs" dxfId="1764" priority="2059" operator="equal">
      <formula>"Extremo"</formula>
    </cfRule>
    <cfRule type="cellIs" dxfId="1763" priority="2060" operator="equal">
      <formula>"Alto"</formula>
    </cfRule>
    <cfRule type="cellIs" dxfId="1762" priority="2061" operator="equal">
      <formula>"Moderado"</formula>
    </cfRule>
    <cfRule type="cellIs" dxfId="1761" priority="2062" operator="equal">
      <formula>"Bajo"</formula>
    </cfRule>
  </conditionalFormatting>
  <conditionalFormatting sqref="AB93">
    <cfRule type="cellIs" dxfId="1760" priority="2054" operator="equal">
      <formula>"Muy Alta"</formula>
    </cfRule>
    <cfRule type="cellIs" dxfId="1759" priority="2055" operator="equal">
      <formula>"Alta"</formula>
    </cfRule>
    <cfRule type="cellIs" dxfId="1758" priority="2056" operator="equal">
      <formula>"Media"</formula>
    </cfRule>
    <cfRule type="cellIs" dxfId="1757" priority="2057" operator="equal">
      <formula>"Baja"</formula>
    </cfRule>
    <cfRule type="cellIs" dxfId="1756" priority="2058" operator="equal">
      <formula>"Muy Baja"</formula>
    </cfRule>
  </conditionalFormatting>
  <conditionalFormatting sqref="AD93">
    <cfRule type="cellIs" dxfId="1755" priority="2049" operator="equal">
      <formula>"Catastrófico"</formula>
    </cfRule>
    <cfRule type="cellIs" dxfId="1754" priority="2050" operator="equal">
      <formula>"Mayor"</formula>
    </cfRule>
    <cfRule type="cellIs" dxfId="1753" priority="2051" operator="equal">
      <formula>"Moderado"</formula>
    </cfRule>
    <cfRule type="cellIs" dxfId="1752" priority="2052" operator="equal">
      <formula>"Menor"</formula>
    </cfRule>
    <cfRule type="cellIs" dxfId="1751" priority="2053" operator="equal">
      <formula>"Leve"</formula>
    </cfRule>
  </conditionalFormatting>
  <conditionalFormatting sqref="AF93">
    <cfRule type="cellIs" dxfId="1750" priority="2045" operator="equal">
      <formula>"Extremo"</formula>
    </cfRule>
    <cfRule type="cellIs" dxfId="1749" priority="2046" operator="equal">
      <formula>"Alto"</formula>
    </cfRule>
    <cfRule type="cellIs" dxfId="1748" priority="2047" operator="equal">
      <formula>"Moderado"</formula>
    </cfRule>
    <cfRule type="cellIs" dxfId="1747" priority="2048" operator="equal">
      <formula>"Bajo"</formula>
    </cfRule>
  </conditionalFormatting>
  <conditionalFormatting sqref="AB95">
    <cfRule type="cellIs" dxfId="1746" priority="2040" operator="equal">
      <formula>"Muy Alta"</formula>
    </cfRule>
    <cfRule type="cellIs" dxfId="1745" priority="2041" operator="equal">
      <formula>"Alta"</formula>
    </cfRule>
    <cfRule type="cellIs" dxfId="1744" priority="2042" operator="equal">
      <formula>"Media"</formula>
    </cfRule>
    <cfRule type="cellIs" dxfId="1743" priority="2043" operator="equal">
      <formula>"Baja"</formula>
    </cfRule>
    <cfRule type="cellIs" dxfId="1742" priority="2044" operator="equal">
      <formula>"Muy Baja"</formula>
    </cfRule>
  </conditionalFormatting>
  <conditionalFormatting sqref="AD95">
    <cfRule type="cellIs" dxfId="1741" priority="2035" operator="equal">
      <formula>"Catastrófico"</formula>
    </cfRule>
    <cfRule type="cellIs" dxfId="1740" priority="2036" operator="equal">
      <formula>"Mayor"</formula>
    </cfRule>
    <cfRule type="cellIs" dxfId="1739" priority="2037" operator="equal">
      <formula>"Moderado"</formula>
    </cfRule>
    <cfRule type="cellIs" dxfId="1738" priority="2038" operator="equal">
      <formula>"Menor"</formula>
    </cfRule>
    <cfRule type="cellIs" dxfId="1737" priority="2039" operator="equal">
      <formula>"Leve"</formula>
    </cfRule>
  </conditionalFormatting>
  <conditionalFormatting sqref="AF95">
    <cfRule type="cellIs" dxfId="1736" priority="2031" operator="equal">
      <formula>"Extremo"</formula>
    </cfRule>
    <cfRule type="cellIs" dxfId="1735" priority="2032" operator="equal">
      <formula>"Alto"</formula>
    </cfRule>
    <cfRule type="cellIs" dxfId="1734" priority="2033" operator="equal">
      <formula>"Moderado"</formula>
    </cfRule>
    <cfRule type="cellIs" dxfId="1733" priority="2034" operator="equal">
      <formula>"Bajo"</formula>
    </cfRule>
  </conditionalFormatting>
  <conditionalFormatting sqref="AB100">
    <cfRule type="cellIs" dxfId="1732" priority="1998" operator="equal">
      <formula>"Muy Alta"</formula>
    </cfRule>
    <cfRule type="cellIs" dxfId="1731" priority="1999" operator="equal">
      <formula>"Alta"</formula>
    </cfRule>
    <cfRule type="cellIs" dxfId="1730" priority="2000" operator="equal">
      <formula>"Media"</formula>
    </cfRule>
    <cfRule type="cellIs" dxfId="1729" priority="2001" operator="equal">
      <formula>"Baja"</formula>
    </cfRule>
    <cfRule type="cellIs" dxfId="1728" priority="2002" operator="equal">
      <formula>"Muy Baja"</formula>
    </cfRule>
  </conditionalFormatting>
  <conditionalFormatting sqref="AD100">
    <cfRule type="cellIs" dxfId="1727" priority="1993" operator="equal">
      <formula>"Catastrófico"</formula>
    </cfRule>
    <cfRule type="cellIs" dxfId="1726" priority="1994" operator="equal">
      <formula>"Mayor"</formula>
    </cfRule>
    <cfRule type="cellIs" dxfId="1725" priority="1995" operator="equal">
      <formula>"Moderado"</formula>
    </cfRule>
    <cfRule type="cellIs" dxfId="1724" priority="1996" operator="equal">
      <formula>"Menor"</formula>
    </cfRule>
    <cfRule type="cellIs" dxfId="1723" priority="1997" operator="equal">
      <formula>"Leve"</formula>
    </cfRule>
  </conditionalFormatting>
  <conditionalFormatting sqref="AF100">
    <cfRule type="cellIs" dxfId="1722" priority="1989" operator="equal">
      <formula>"Extremo"</formula>
    </cfRule>
    <cfRule type="cellIs" dxfId="1721" priority="1990" operator="equal">
      <formula>"Alto"</formula>
    </cfRule>
    <cfRule type="cellIs" dxfId="1720" priority="1991" operator="equal">
      <formula>"Moderado"</formula>
    </cfRule>
    <cfRule type="cellIs" dxfId="1719" priority="1992" operator="equal">
      <formula>"Bajo"</formula>
    </cfRule>
  </conditionalFormatting>
  <conditionalFormatting sqref="AB101">
    <cfRule type="cellIs" dxfId="1718" priority="1956" operator="equal">
      <formula>"Muy Alta"</formula>
    </cfRule>
    <cfRule type="cellIs" dxfId="1717" priority="1957" operator="equal">
      <formula>"Alta"</formula>
    </cfRule>
    <cfRule type="cellIs" dxfId="1716" priority="1958" operator="equal">
      <formula>"Media"</formula>
    </cfRule>
    <cfRule type="cellIs" dxfId="1715" priority="1959" operator="equal">
      <formula>"Baja"</formula>
    </cfRule>
    <cfRule type="cellIs" dxfId="1714" priority="1960" operator="equal">
      <formula>"Muy Baja"</formula>
    </cfRule>
  </conditionalFormatting>
  <conditionalFormatting sqref="AD101">
    <cfRule type="cellIs" dxfId="1713" priority="1951" operator="equal">
      <formula>"Catastrófico"</formula>
    </cfRule>
    <cfRule type="cellIs" dxfId="1712" priority="1952" operator="equal">
      <formula>"Mayor"</formula>
    </cfRule>
    <cfRule type="cellIs" dxfId="1711" priority="1953" operator="equal">
      <formula>"Moderado"</formula>
    </cfRule>
    <cfRule type="cellIs" dxfId="1710" priority="1954" operator="equal">
      <formula>"Menor"</formula>
    </cfRule>
    <cfRule type="cellIs" dxfId="1709" priority="1955" operator="equal">
      <formula>"Leve"</formula>
    </cfRule>
  </conditionalFormatting>
  <conditionalFormatting sqref="AF101">
    <cfRule type="cellIs" dxfId="1708" priority="1947" operator="equal">
      <formula>"Extremo"</formula>
    </cfRule>
    <cfRule type="cellIs" dxfId="1707" priority="1948" operator="equal">
      <formula>"Alto"</formula>
    </cfRule>
    <cfRule type="cellIs" dxfId="1706" priority="1949" operator="equal">
      <formula>"Moderado"</formula>
    </cfRule>
    <cfRule type="cellIs" dxfId="1705" priority="1950" operator="equal">
      <formula>"Bajo"</formula>
    </cfRule>
  </conditionalFormatting>
  <conditionalFormatting sqref="AB102">
    <cfRule type="cellIs" dxfId="1704" priority="1942" operator="equal">
      <formula>"Muy Alta"</formula>
    </cfRule>
    <cfRule type="cellIs" dxfId="1703" priority="1943" operator="equal">
      <formula>"Alta"</formula>
    </cfRule>
    <cfRule type="cellIs" dxfId="1702" priority="1944" operator="equal">
      <formula>"Media"</formula>
    </cfRule>
    <cfRule type="cellIs" dxfId="1701" priority="1945" operator="equal">
      <formula>"Baja"</formula>
    </cfRule>
    <cfRule type="cellIs" dxfId="1700" priority="1946" operator="equal">
      <formula>"Muy Baja"</formula>
    </cfRule>
  </conditionalFormatting>
  <conditionalFormatting sqref="AD102">
    <cfRule type="cellIs" dxfId="1699" priority="1937" operator="equal">
      <formula>"Catastrófico"</formula>
    </cfRule>
    <cfRule type="cellIs" dxfId="1698" priority="1938" operator="equal">
      <formula>"Mayor"</formula>
    </cfRule>
    <cfRule type="cellIs" dxfId="1697" priority="1939" operator="equal">
      <formula>"Moderado"</formula>
    </cfRule>
    <cfRule type="cellIs" dxfId="1696" priority="1940" operator="equal">
      <formula>"Menor"</formula>
    </cfRule>
    <cfRule type="cellIs" dxfId="1695" priority="1941" operator="equal">
      <formula>"Leve"</formula>
    </cfRule>
  </conditionalFormatting>
  <conditionalFormatting sqref="AF102">
    <cfRule type="cellIs" dxfId="1694" priority="1933" operator="equal">
      <formula>"Extremo"</formula>
    </cfRule>
    <cfRule type="cellIs" dxfId="1693" priority="1934" operator="equal">
      <formula>"Alto"</formula>
    </cfRule>
    <cfRule type="cellIs" dxfId="1692" priority="1935" operator="equal">
      <formula>"Moderado"</formula>
    </cfRule>
    <cfRule type="cellIs" dxfId="1691" priority="1936" operator="equal">
      <formula>"Bajo"</formula>
    </cfRule>
  </conditionalFormatting>
  <conditionalFormatting sqref="AB104">
    <cfRule type="cellIs" dxfId="1690" priority="1928" operator="equal">
      <formula>"Muy Alta"</formula>
    </cfRule>
    <cfRule type="cellIs" dxfId="1689" priority="1929" operator="equal">
      <formula>"Alta"</formula>
    </cfRule>
    <cfRule type="cellIs" dxfId="1688" priority="1930" operator="equal">
      <formula>"Media"</formula>
    </cfRule>
    <cfRule type="cellIs" dxfId="1687" priority="1931" operator="equal">
      <formula>"Baja"</formula>
    </cfRule>
    <cfRule type="cellIs" dxfId="1686" priority="1932" operator="equal">
      <formula>"Muy Baja"</formula>
    </cfRule>
  </conditionalFormatting>
  <conditionalFormatting sqref="AD104">
    <cfRule type="cellIs" dxfId="1685" priority="1923" operator="equal">
      <formula>"Catastrófico"</formula>
    </cfRule>
    <cfRule type="cellIs" dxfId="1684" priority="1924" operator="equal">
      <formula>"Mayor"</formula>
    </cfRule>
    <cfRule type="cellIs" dxfId="1683" priority="1925" operator="equal">
      <formula>"Moderado"</formula>
    </cfRule>
    <cfRule type="cellIs" dxfId="1682" priority="1926" operator="equal">
      <formula>"Menor"</formula>
    </cfRule>
    <cfRule type="cellIs" dxfId="1681" priority="1927" operator="equal">
      <formula>"Leve"</formula>
    </cfRule>
  </conditionalFormatting>
  <conditionalFormatting sqref="AF104">
    <cfRule type="cellIs" dxfId="1680" priority="1919" operator="equal">
      <formula>"Extremo"</formula>
    </cfRule>
    <cfRule type="cellIs" dxfId="1679" priority="1920" operator="equal">
      <formula>"Alto"</formula>
    </cfRule>
    <cfRule type="cellIs" dxfId="1678" priority="1921" operator="equal">
      <formula>"Moderado"</formula>
    </cfRule>
    <cfRule type="cellIs" dxfId="1677" priority="1922" operator="equal">
      <formula>"Bajo"</formula>
    </cfRule>
  </conditionalFormatting>
  <conditionalFormatting sqref="AB105">
    <cfRule type="cellIs" dxfId="1676" priority="1914" operator="equal">
      <formula>"Muy Alta"</formula>
    </cfRule>
    <cfRule type="cellIs" dxfId="1675" priority="1915" operator="equal">
      <formula>"Alta"</formula>
    </cfRule>
    <cfRule type="cellIs" dxfId="1674" priority="1916" operator="equal">
      <formula>"Media"</formula>
    </cfRule>
    <cfRule type="cellIs" dxfId="1673" priority="1917" operator="equal">
      <formula>"Baja"</formula>
    </cfRule>
    <cfRule type="cellIs" dxfId="1672" priority="1918" operator="equal">
      <formula>"Muy Baja"</formula>
    </cfRule>
  </conditionalFormatting>
  <conditionalFormatting sqref="AD105">
    <cfRule type="cellIs" dxfId="1671" priority="1909" operator="equal">
      <formula>"Catastrófico"</formula>
    </cfRule>
    <cfRule type="cellIs" dxfId="1670" priority="1910" operator="equal">
      <formula>"Mayor"</formula>
    </cfRule>
    <cfRule type="cellIs" dxfId="1669" priority="1911" operator="equal">
      <formula>"Moderado"</formula>
    </cfRule>
    <cfRule type="cellIs" dxfId="1668" priority="1912" operator="equal">
      <formula>"Menor"</formula>
    </cfRule>
    <cfRule type="cellIs" dxfId="1667" priority="1913" operator="equal">
      <formula>"Leve"</formula>
    </cfRule>
  </conditionalFormatting>
  <conditionalFormatting sqref="AF105">
    <cfRule type="cellIs" dxfId="1666" priority="1905" operator="equal">
      <formula>"Extremo"</formula>
    </cfRule>
    <cfRule type="cellIs" dxfId="1665" priority="1906" operator="equal">
      <formula>"Alto"</formula>
    </cfRule>
    <cfRule type="cellIs" dxfId="1664" priority="1907" operator="equal">
      <formula>"Moderado"</formula>
    </cfRule>
    <cfRule type="cellIs" dxfId="1663" priority="1908" operator="equal">
      <formula>"Bajo"</formula>
    </cfRule>
  </conditionalFormatting>
  <conditionalFormatting sqref="AB121">
    <cfRule type="cellIs" dxfId="1662" priority="1900" operator="equal">
      <formula>"Muy Alta"</formula>
    </cfRule>
    <cfRule type="cellIs" dxfId="1661" priority="1901" operator="equal">
      <formula>"Alta"</formula>
    </cfRule>
    <cfRule type="cellIs" dxfId="1660" priority="1902" operator="equal">
      <formula>"Media"</formula>
    </cfRule>
    <cfRule type="cellIs" dxfId="1659" priority="1903" operator="equal">
      <formula>"Baja"</formula>
    </cfRule>
    <cfRule type="cellIs" dxfId="1658" priority="1904" operator="equal">
      <formula>"Muy Baja"</formula>
    </cfRule>
  </conditionalFormatting>
  <conditionalFormatting sqref="AD121">
    <cfRule type="cellIs" dxfId="1657" priority="1895" operator="equal">
      <formula>"Catastrófico"</formula>
    </cfRule>
    <cfRule type="cellIs" dxfId="1656" priority="1896" operator="equal">
      <formula>"Mayor"</formula>
    </cfRule>
    <cfRule type="cellIs" dxfId="1655" priority="1897" operator="equal">
      <formula>"Moderado"</formula>
    </cfRule>
    <cfRule type="cellIs" dxfId="1654" priority="1898" operator="equal">
      <formula>"Menor"</formula>
    </cfRule>
    <cfRule type="cellIs" dxfId="1653" priority="1899" operator="equal">
      <formula>"Leve"</formula>
    </cfRule>
  </conditionalFormatting>
  <conditionalFormatting sqref="AF121">
    <cfRule type="cellIs" dxfId="1652" priority="1891" operator="equal">
      <formula>"Extremo"</formula>
    </cfRule>
    <cfRule type="cellIs" dxfId="1651" priority="1892" operator="equal">
      <formula>"Alto"</formula>
    </cfRule>
    <cfRule type="cellIs" dxfId="1650" priority="1893" operator="equal">
      <formula>"Moderado"</formula>
    </cfRule>
    <cfRule type="cellIs" dxfId="1649" priority="1894" operator="equal">
      <formula>"Bajo"</formula>
    </cfRule>
  </conditionalFormatting>
  <conditionalFormatting sqref="AB122">
    <cfRule type="cellIs" dxfId="1648" priority="1886" operator="equal">
      <formula>"Muy Alta"</formula>
    </cfRule>
    <cfRule type="cellIs" dxfId="1647" priority="1887" operator="equal">
      <formula>"Alta"</formula>
    </cfRule>
    <cfRule type="cellIs" dxfId="1646" priority="1888" operator="equal">
      <formula>"Media"</formula>
    </cfRule>
    <cfRule type="cellIs" dxfId="1645" priority="1889" operator="equal">
      <formula>"Baja"</formula>
    </cfRule>
    <cfRule type="cellIs" dxfId="1644" priority="1890" operator="equal">
      <formula>"Muy Baja"</formula>
    </cfRule>
  </conditionalFormatting>
  <conditionalFormatting sqref="AD122">
    <cfRule type="cellIs" dxfId="1643" priority="1881" operator="equal">
      <formula>"Catastrófico"</formula>
    </cfRule>
    <cfRule type="cellIs" dxfId="1642" priority="1882" operator="equal">
      <formula>"Mayor"</formula>
    </cfRule>
    <cfRule type="cellIs" dxfId="1641" priority="1883" operator="equal">
      <formula>"Moderado"</formula>
    </cfRule>
    <cfRule type="cellIs" dxfId="1640" priority="1884" operator="equal">
      <formula>"Menor"</formula>
    </cfRule>
    <cfRule type="cellIs" dxfId="1639" priority="1885" operator="equal">
      <formula>"Leve"</formula>
    </cfRule>
  </conditionalFormatting>
  <conditionalFormatting sqref="AF122">
    <cfRule type="cellIs" dxfId="1638" priority="1877" operator="equal">
      <formula>"Extremo"</formula>
    </cfRule>
    <cfRule type="cellIs" dxfId="1637" priority="1878" operator="equal">
      <formula>"Alto"</formula>
    </cfRule>
    <cfRule type="cellIs" dxfId="1636" priority="1879" operator="equal">
      <formula>"Moderado"</formula>
    </cfRule>
    <cfRule type="cellIs" dxfId="1635" priority="1880" operator="equal">
      <formula>"Bajo"</formula>
    </cfRule>
  </conditionalFormatting>
  <conditionalFormatting sqref="AB123">
    <cfRule type="cellIs" dxfId="1634" priority="1872" operator="equal">
      <formula>"Muy Alta"</formula>
    </cfRule>
    <cfRule type="cellIs" dxfId="1633" priority="1873" operator="equal">
      <formula>"Alta"</formula>
    </cfRule>
    <cfRule type="cellIs" dxfId="1632" priority="1874" operator="equal">
      <formula>"Media"</formula>
    </cfRule>
    <cfRule type="cellIs" dxfId="1631" priority="1875" operator="equal">
      <formula>"Baja"</formula>
    </cfRule>
    <cfRule type="cellIs" dxfId="1630" priority="1876" operator="equal">
      <formula>"Muy Baja"</formula>
    </cfRule>
  </conditionalFormatting>
  <conditionalFormatting sqref="AD123">
    <cfRule type="cellIs" dxfId="1629" priority="1867" operator="equal">
      <formula>"Catastrófico"</formula>
    </cfRule>
    <cfRule type="cellIs" dxfId="1628" priority="1868" operator="equal">
      <formula>"Mayor"</formula>
    </cfRule>
    <cfRule type="cellIs" dxfId="1627" priority="1869" operator="equal">
      <formula>"Moderado"</formula>
    </cfRule>
    <cfRule type="cellIs" dxfId="1626" priority="1870" operator="equal">
      <formula>"Menor"</formula>
    </cfRule>
    <cfRule type="cellIs" dxfId="1625" priority="1871" operator="equal">
      <formula>"Leve"</formula>
    </cfRule>
  </conditionalFormatting>
  <conditionalFormatting sqref="AF123">
    <cfRule type="cellIs" dxfId="1624" priority="1863" operator="equal">
      <formula>"Extremo"</formula>
    </cfRule>
    <cfRule type="cellIs" dxfId="1623" priority="1864" operator="equal">
      <formula>"Alto"</formula>
    </cfRule>
    <cfRule type="cellIs" dxfId="1622" priority="1865" operator="equal">
      <formula>"Moderado"</formula>
    </cfRule>
    <cfRule type="cellIs" dxfId="1621" priority="1866" operator="equal">
      <formula>"Bajo"</formula>
    </cfRule>
  </conditionalFormatting>
  <conditionalFormatting sqref="K10">
    <cfRule type="cellIs" dxfId="1620" priority="1858" operator="equal">
      <formula>"Muy Alta"</formula>
    </cfRule>
    <cfRule type="cellIs" dxfId="1619" priority="1859" operator="equal">
      <formula>"Alta"</formula>
    </cfRule>
    <cfRule type="cellIs" dxfId="1618" priority="1860" operator="equal">
      <formula>"Media"</formula>
    </cfRule>
    <cfRule type="cellIs" dxfId="1617" priority="1861" operator="equal">
      <formula>"Baja"</formula>
    </cfRule>
    <cfRule type="cellIs" dxfId="1616" priority="1862" operator="equal">
      <formula>"Muy Baja"</formula>
    </cfRule>
  </conditionalFormatting>
  <conditionalFormatting sqref="O10">
    <cfRule type="cellIs" dxfId="1615" priority="1853" operator="equal">
      <formula>"Catastrófico"</formula>
    </cfRule>
    <cfRule type="cellIs" dxfId="1614" priority="1854" operator="equal">
      <formula>"Mayor"</formula>
    </cfRule>
    <cfRule type="cellIs" dxfId="1613" priority="1855" operator="equal">
      <formula>"Moderado"</formula>
    </cfRule>
    <cfRule type="cellIs" dxfId="1612" priority="1856" operator="equal">
      <formula>"Menor"</formula>
    </cfRule>
    <cfRule type="cellIs" dxfId="1611" priority="1857" operator="equal">
      <formula>"Leve"</formula>
    </cfRule>
  </conditionalFormatting>
  <conditionalFormatting sqref="Q10">
    <cfRule type="cellIs" dxfId="1610" priority="1849" operator="equal">
      <formula>"Extremo"</formula>
    </cfRule>
    <cfRule type="cellIs" dxfId="1609" priority="1850" operator="equal">
      <formula>"Alto"</formula>
    </cfRule>
    <cfRule type="cellIs" dxfId="1608" priority="1851" operator="equal">
      <formula>"Moderado"</formula>
    </cfRule>
    <cfRule type="cellIs" dxfId="1607" priority="1852" operator="equal">
      <formula>"Bajo"</formula>
    </cfRule>
  </conditionalFormatting>
  <conditionalFormatting sqref="N10:N12">
    <cfRule type="containsText" dxfId="1606" priority="1848" operator="containsText" text="❌">
      <formula>NOT(ISERROR(SEARCH("❌",N10)))</formula>
    </cfRule>
  </conditionalFormatting>
  <conditionalFormatting sqref="K13">
    <cfRule type="cellIs" dxfId="1605" priority="1843" operator="equal">
      <formula>"Muy Alta"</formula>
    </cfRule>
    <cfRule type="cellIs" dxfId="1604" priority="1844" operator="equal">
      <formula>"Alta"</formula>
    </cfRule>
    <cfRule type="cellIs" dxfId="1603" priority="1845" operator="equal">
      <formula>"Media"</formula>
    </cfRule>
    <cfRule type="cellIs" dxfId="1602" priority="1846" operator="equal">
      <formula>"Baja"</formula>
    </cfRule>
    <cfRule type="cellIs" dxfId="1601" priority="1847" operator="equal">
      <formula>"Muy Baja"</formula>
    </cfRule>
  </conditionalFormatting>
  <conditionalFormatting sqref="O13">
    <cfRule type="cellIs" dxfId="1600" priority="1838" operator="equal">
      <formula>"Catastrófico"</formula>
    </cfRule>
    <cfRule type="cellIs" dxfId="1599" priority="1839" operator="equal">
      <formula>"Mayor"</formula>
    </cfRule>
    <cfRule type="cellIs" dxfId="1598" priority="1840" operator="equal">
      <formula>"Moderado"</formula>
    </cfRule>
    <cfRule type="cellIs" dxfId="1597" priority="1841" operator="equal">
      <formula>"Menor"</formula>
    </cfRule>
    <cfRule type="cellIs" dxfId="1596" priority="1842" operator="equal">
      <formula>"Leve"</formula>
    </cfRule>
  </conditionalFormatting>
  <conditionalFormatting sqref="Q13">
    <cfRule type="cellIs" dxfId="1595" priority="1834" operator="equal">
      <formula>"Extremo"</formula>
    </cfRule>
    <cfRule type="cellIs" dxfId="1594" priority="1835" operator="equal">
      <formula>"Alto"</formula>
    </cfRule>
    <cfRule type="cellIs" dxfId="1593" priority="1836" operator="equal">
      <formula>"Moderado"</formula>
    </cfRule>
    <cfRule type="cellIs" dxfId="1592" priority="1837" operator="equal">
      <formula>"Bajo"</formula>
    </cfRule>
  </conditionalFormatting>
  <conditionalFormatting sqref="N13:N15">
    <cfRule type="containsText" dxfId="1591" priority="1833" operator="containsText" text="❌">
      <formula>NOT(ISERROR(SEARCH("❌",N13)))</formula>
    </cfRule>
  </conditionalFormatting>
  <conditionalFormatting sqref="K16">
    <cfRule type="cellIs" dxfId="1575" priority="1798" operator="equal">
      <formula>"Muy Alta"</formula>
    </cfRule>
    <cfRule type="cellIs" dxfId="1574" priority="1799" operator="equal">
      <formula>"Alta"</formula>
    </cfRule>
    <cfRule type="cellIs" dxfId="1573" priority="1800" operator="equal">
      <formula>"Media"</formula>
    </cfRule>
    <cfRule type="cellIs" dxfId="1572" priority="1801" operator="equal">
      <formula>"Baja"</formula>
    </cfRule>
    <cfRule type="cellIs" dxfId="1571" priority="1802" operator="equal">
      <formula>"Muy Baja"</formula>
    </cfRule>
  </conditionalFormatting>
  <conditionalFormatting sqref="O16">
    <cfRule type="cellIs" dxfId="1570" priority="1793" operator="equal">
      <formula>"Catastrófico"</formula>
    </cfRule>
    <cfRule type="cellIs" dxfId="1569" priority="1794" operator="equal">
      <formula>"Mayor"</formula>
    </cfRule>
    <cfRule type="cellIs" dxfId="1568" priority="1795" operator="equal">
      <formula>"Moderado"</formula>
    </cfRule>
    <cfRule type="cellIs" dxfId="1567" priority="1796" operator="equal">
      <formula>"Menor"</formula>
    </cfRule>
    <cfRule type="cellIs" dxfId="1566" priority="1797" operator="equal">
      <formula>"Leve"</formula>
    </cfRule>
  </conditionalFormatting>
  <conditionalFormatting sqref="Q16">
    <cfRule type="cellIs" dxfId="1565" priority="1789" operator="equal">
      <formula>"Extremo"</formula>
    </cfRule>
    <cfRule type="cellIs" dxfId="1564" priority="1790" operator="equal">
      <formula>"Alto"</formula>
    </cfRule>
    <cfRule type="cellIs" dxfId="1563" priority="1791" operator="equal">
      <formula>"Moderado"</formula>
    </cfRule>
    <cfRule type="cellIs" dxfId="1562" priority="1792" operator="equal">
      <formula>"Bajo"</formula>
    </cfRule>
  </conditionalFormatting>
  <conditionalFormatting sqref="N16:N18">
    <cfRule type="containsText" dxfId="1561" priority="1788" operator="containsText" text="❌">
      <formula>NOT(ISERROR(SEARCH("❌",N16)))</formula>
    </cfRule>
  </conditionalFormatting>
  <conditionalFormatting sqref="K19">
    <cfRule type="cellIs" dxfId="1560" priority="1783" operator="equal">
      <formula>"Muy Alta"</formula>
    </cfRule>
    <cfRule type="cellIs" dxfId="1559" priority="1784" operator="equal">
      <formula>"Alta"</formula>
    </cfRule>
    <cfRule type="cellIs" dxfId="1558" priority="1785" operator="equal">
      <formula>"Media"</formula>
    </cfRule>
    <cfRule type="cellIs" dxfId="1557" priority="1786" operator="equal">
      <formula>"Baja"</formula>
    </cfRule>
    <cfRule type="cellIs" dxfId="1556" priority="1787" operator="equal">
      <formula>"Muy Baja"</formula>
    </cfRule>
  </conditionalFormatting>
  <conditionalFormatting sqref="O19">
    <cfRule type="cellIs" dxfId="1555" priority="1778" operator="equal">
      <formula>"Catastrófico"</formula>
    </cfRule>
    <cfRule type="cellIs" dxfId="1554" priority="1779" operator="equal">
      <formula>"Mayor"</formula>
    </cfRule>
    <cfRule type="cellIs" dxfId="1553" priority="1780" operator="equal">
      <formula>"Moderado"</formula>
    </cfRule>
    <cfRule type="cellIs" dxfId="1552" priority="1781" operator="equal">
      <formula>"Menor"</formula>
    </cfRule>
    <cfRule type="cellIs" dxfId="1551" priority="1782" operator="equal">
      <formula>"Leve"</formula>
    </cfRule>
  </conditionalFormatting>
  <conditionalFormatting sqref="Q19">
    <cfRule type="cellIs" dxfId="1550" priority="1774" operator="equal">
      <formula>"Extremo"</formula>
    </cfRule>
    <cfRule type="cellIs" dxfId="1549" priority="1775" operator="equal">
      <formula>"Alto"</formula>
    </cfRule>
    <cfRule type="cellIs" dxfId="1548" priority="1776" operator="equal">
      <formula>"Moderado"</formula>
    </cfRule>
    <cfRule type="cellIs" dxfId="1547" priority="1777" operator="equal">
      <formula>"Bajo"</formula>
    </cfRule>
  </conditionalFormatting>
  <conditionalFormatting sqref="N19:N21">
    <cfRule type="containsText" dxfId="1546" priority="1773" operator="containsText" text="❌">
      <formula>NOT(ISERROR(SEARCH("❌",N19)))</formula>
    </cfRule>
  </conditionalFormatting>
  <conditionalFormatting sqref="K22">
    <cfRule type="cellIs" dxfId="1545" priority="1768" operator="equal">
      <formula>"Muy Alta"</formula>
    </cfRule>
    <cfRule type="cellIs" dxfId="1544" priority="1769" operator="equal">
      <formula>"Alta"</formula>
    </cfRule>
    <cfRule type="cellIs" dxfId="1543" priority="1770" operator="equal">
      <formula>"Media"</formula>
    </cfRule>
    <cfRule type="cellIs" dxfId="1542" priority="1771" operator="equal">
      <formula>"Baja"</formula>
    </cfRule>
    <cfRule type="cellIs" dxfId="1541" priority="1772" operator="equal">
      <formula>"Muy Baja"</formula>
    </cfRule>
  </conditionalFormatting>
  <conditionalFormatting sqref="O22">
    <cfRule type="cellIs" dxfId="1540" priority="1763" operator="equal">
      <formula>"Catastrófico"</formula>
    </cfRule>
    <cfRule type="cellIs" dxfId="1539" priority="1764" operator="equal">
      <formula>"Mayor"</formula>
    </cfRule>
    <cfRule type="cellIs" dxfId="1538" priority="1765" operator="equal">
      <formula>"Moderado"</formula>
    </cfRule>
    <cfRule type="cellIs" dxfId="1537" priority="1766" operator="equal">
      <formula>"Menor"</formula>
    </cfRule>
    <cfRule type="cellIs" dxfId="1536" priority="1767" operator="equal">
      <formula>"Leve"</formula>
    </cfRule>
  </conditionalFormatting>
  <conditionalFormatting sqref="Q22">
    <cfRule type="cellIs" dxfId="1535" priority="1759" operator="equal">
      <formula>"Extremo"</formula>
    </cfRule>
    <cfRule type="cellIs" dxfId="1534" priority="1760" operator="equal">
      <formula>"Alto"</formula>
    </cfRule>
    <cfRule type="cellIs" dxfId="1533" priority="1761" operator="equal">
      <formula>"Moderado"</formula>
    </cfRule>
    <cfRule type="cellIs" dxfId="1532" priority="1762" operator="equal">
      <formula>"Bajo"</formula>
    </cfRule>
  </conditionalFormatting>
  <conditionalFormatting sqref="N22:N24">
    <cfRule type="containsText" dxfId="1531" priority="1758" operator="containsText" text="❌">
      <formula>NOT(ISERROR(SEARCH("❌",N22)))</formula>
    </cfRule>
  </conditionalFormatting>
  <conditionalFormatting sqref="K25">
    <cfRule type="cellIs" dxfId="1530" priority="1753" operator="equal">
      <formula>"Muy Alta"</formula>
    </cfRule>
    <cfRule type="cellIs" dxfId="1529" priority="1754" operator="equal">
      <formula>"Alta"</formula>
    </cfRule>
    <cfRule type="cellIs" dxfId="1528" priority="1755" operator="equal">
      <formula>"Media"</formula>
    </cfRule>
    <cfRule type="cellIs" dxfId="1527" priority="1756" operator="equal">
      <formula>"Baja"</formula>
    </cfRule>
    <cfRule type="cellIs" dxfId="1526" priority="1757" operator="equal">
      <formula>"Muy Baja"</formula>
    </cfRule>
  </conditionalFormatting>
  <conditionalFormatting sqref="O25">
    <cfRule type="cellIs" dxfId="1525" priority="1748" operator="equal">
      <formula>"Catastrófico"</formula>
    </cfRule>
    <cfRule type="cellIs" dxfId="1524" priority="1749" operator="equal">
      <formula>"Mayor"</formula>
    </cfRule>
    <cfRule type="cellIs" dxfId="1523" priority="1750" operator="equal">
      <formula>"Moderado"</formula>
    </cfRule>
    <cfRule type="cellIs" dxfId="1522" priority="1751" operator="equal">
      <formula>"Menor"</formula>
    </cfRule>
    <cfRule type="cellIs" dxfId="1521" priority="1752" operator="equal">
      <formula>"Leve"</formula>
    </cfRule>
  </conditionalFormatting>
  <conditionalFormatting sqref="Q25">
    <cfRule type="cellIs" dxfId="1520" priority="1744" operator="equal">
      <formula>"Extremo"</formula>
    </cfRule>
    <cfRule type="cellIs" dxfId="1519" priority="1745" operator="equal">
      <formula>"Alto"</formula>
    </cfRule>
    <cfRule type="cellIs" dxfId="1518" priority="1746" operator="equal">
      <formula>"Moderado"</formula>
    </cfRule>
    <cfRule type="cellIs" dxfId="1517" priority="1747" operator="equal">
      <formula>"Bajo"</formula>
    </cfRule>
  </conditionalFormatting>
  <conditionalFormatting sqref="N25:N27">
    <cfRule type="containsText" dxfId="1516" priority="1743" operator="containsText" text="❌">
      <formula>NOT(ISERROR(SEARCH("❌",N25)))</formula>
    </cfRule>
  </conditionalFormatting>
  <conditionalFormatting sqref="K28">
    <cfRule type="cellIs" dxfId="1515" priority="1738" operator="equal">
      <formula>"Muy Alta"</formula>
    </cfRule>
    <cfRule type="cellIs" dxfId="1514" priority="1739" operator="equal">
      <formula>"Alta"</formula>
    </cfRule>
    <cfRule type="cellIs" dxfId="1513" priority="1740" operator="equal">
      <formula>"Media"</formula>
    </cfRule>
    <cfRule type="cellIs" dxfId="1512" priority="1741" operator="equal">
      <formula>"Baja"</formula>
    </cfRule>
    <cfRule type="cellIs" dxfId="1511" priority="1742" operator="equal">
      <formula>"Muy Baja"</formula>
    </cfRule>
  </conditionalFormatting>
  <conditionalFormatting sqref="O28">
    <cfRule type="cellIs" dxfId="1510" priority="1733" operator="equal">
      <formula>"Catastrófico"</formula>
    </cfRule>
    <cfRule type="cellIs" dxfId="1509" priority="1734" operator="equal">
      <formula>"Mayor"</formula>
    </cfRule>
    <cfRule type="cellIs" dxfId="1508" priority="1735" operator="equal">
      <formula>"Moderado"</formula>
    </cfRule>
    <cfRule type="cellIs" dxfId="1507" priority="1736" operator="equal">
      <formula>"Menor"</formula>
    </cfRule>
    <cfRule type="cellIs" dxfId="1506" priority="1737" operator="equal">
      <formula>"Leve"</formula>
    </cfRule>
  </conditionalFormatting>
  <conditionalFormatting sqref="Q28">
    <cfRule type="cellIs" dxfId="1505" priority="1729" operator="equal">
      <formula>"Extremo"</formula>
    </cfRule>
    <cfRule type="cellIs" dxfId="1504" priority="1730" operator="equal">
      <formula>"Alto"</formula>
    </cfRule>
    <cfRule type="cellIs" dxfId="1503" priority="1731" operator="equal">
      <formula>"Moderado"</formula>
    </cfRule>
    <cfRule type="cellIs" dxfId="1502" priority="1732" operator="equal">
      <formula>"Bajo"</formula>
    </cfRule>
  </conditionalFormatting>
  <conditionalFormatting sqref="N28:N30">
    <cfRule type="containsText" dxfId="1501" priority="1728" operator="containsText" text="❌">
      <formula>NOT(ISERROR(SEARCH("❌",N28)))</formula>
    </cfRule>
  </conditionalFormatting>
  <conditionalFormatting sqref="K31">
    <cfRule type="cellIs" dxfId="1500" priority="1723" operator="equal">
      <formula>"Muy Alta"</formula>
    </cfRule>
    <cfRule type="cellIs" dxfId="1499" priority="1724" operator="equal">
      <formula>"Alta"</formula>
    </cfRule>
    <cfRule type="cellIs" dxfId="1498" priority="1725" operator="equal">
      <formula>"Media"</formula>
    </cfRule>
    <cfRule type="cellIs" dxfId="1497" priority="1726" operator="equal">
      <formula>"Baja"</formula>
    </cfRule>
    <cfRule type="cellIs" dxfId="1496" priority="1727" operator="equal">
      <formula>"Muy Baja"</formula>
    </cfRule>
  </conditionalFormatting>
  <conditionalFormatting sqref="O31">
    <cfRule type="cellIs" dxfId="1495" priority="1718" operator="equal">
      <formula>"Catastrófico"</formula>
    </cfRule>
    <cfRule type="cellIs" dxfId="1494" priority="1719" operator="equal">
      <formula>"Mayor"</formula>
    </cfRule>
    <cfRule type="cellIs" dxfId="1493" priority="1720" operator="equal">
      <formula>"Moderado"</formula>
    </cfRule>
    <cfRule type="cellIs" dxfId="1492" priority="1721" operator="equal">
      <formula>"Menor"</formula>
    </cfRule>
    <cfRule type="cellIs" dxfId="1491" priority="1722" operator="equal">
      <formula>"Leve"</formula>
    </cfRule>
  </conditionalFormatting>
  <conditionalFormatting sqref="Q31">
    <cfRule type="cellIs" dxfId="1490" priority="1714" operator="equal">
      <formula>"Extremo"</formula>
    </cfRule>
    <cfRule type="cellIs" dxfId="1489" priority="1715" operator="equal">
      <formula>"Alto"</formula>
    </cfRule>
    <cfRule type="cellIs" dxfId="1488" priority="1716" operator="equal">
      <formula>"Moderado"</formula>
    </cfRule>
    <cfRule type="cellIs" dxfId="1487" priority="1717" operator="equal">
      <formula>"Bajo"</formula>
    </cfRule>
  </conditionalFormatting>
  <conditionalFormatting sqref="N31:N33">
    <cfRule type="containsText" dxfId="1486" priority="1713" operator="containsText" text="❌">
      <formula>NOT(ISERROR(SEARCH("❌",N31)))</formula>
    </cfRule>
  </conditionalFormatting>
  <conditionalFormatting sqref="K34">
    <cfRule type="cellIs" dxfId="1485" priority="1708" operator="equal">
      <formula>"Muy Alta"</formula>
    </cfRule>
    <cfRule type="cellIs" dxfId="1484" priority="1709" operator="equal">
      <formula>"Alta"</formula>
    </cfRule>
    <cfRule type="cellIs" dxfId="1483" priority="1710" operator="equal">
      <formula>"Media"</formula>
    </cfRule>
    <cfRule type="cellIs" dxfId="1482" priority="1711" operator="equal">
      <formula>"Baja"</formula>
    </cfRule>
    <cfRule type="cellIs" dxfId="1481" priority="1712" operator="equal">
      <formula>"Muy Baja"</formula>
    </cfRule>
  </conditionalFormatting>
  <conditionalFormatting sqref="O34">
    <cfRule type="cellIs" dxfId="1480" priority="1703" operator="equal">
      <formula>"Catastrófico"</formula>
    </cfRule>
    <cfRule type="cellIs" dxfId="1479" priority="1704" operator="equal">
      <formula>"Mayor"</formula>
    </cfRule>
    <cfRule type="cellIs" dxfId="1478" priority="1705" operator="equal">
      <formula>"Moderado"</formula>
    </cfRule>
    <cfRule type="cellIs" dxfId="1477" priority="1706" operator="equal">
      <formula>"Menor"</formula>
    </cfRule>
    <cfRule type="cellIs" dxfId="1476" priority="1707" operator="equal">
      <formula>"Leve"</formula>
    </cfRule>
  </conditionalFormatting>
  <conditionalFormatting sqref="Q34">
    <cfRule type="cellIs" dxfId="1475" priority="1699" operator="equal">
      <formula>"Extremo"</formula>
    </cfRule>
    <cfRule type="cellIs" dxfId="1474" priority="1700" operator="equal">
      <formula>"Alto"</formula>
    </cfRule>
    <cfRule type="cellIs" dxfId="1473" priority="1701" operator="equal">
      <formula>"Moderado"</formula>
    </cfRule>
    <cfRule type="cellIs" dxfId="1472" priority="1702" operator="equal">
      <formula>"Bajo"</formula>
    </cfRule>
  </conditionalFormatting>
  <conditionalFormatting sqref="N34:N36">
    <cfRule type="containsText" dxfId="1471" priority="1698" operator="containsText" text="❌">
      <formula>NOT(ISERROR(SEARCH("❌",N34)))</formula>
    </cfRule>
  </conditionalFormatting>
  <conditionalFormatting sqref="K37">
    <cfRule type="cellIs" dxfId="1470" priority="1693" operator="equal">
      <formula>"Muy Alta"</formula>
    </cfRule>
    <cfRule type="cellIs" dxfId="1469" priority="1694" operator="equal">
      <formula>"Alta"</formula>
    </cfRule>
    <cfRule type="cellIs" dxfId="1468" priority="1695" operator="equal">
      <formula>"Media"</formula>
    </cfRule>
    <cfRule type="cellIs" dxfId="1467" priority="1696" operator="equal">
      <formula>"Baja"</formula>
    </cfRule>
    <cfRule type="cellIs" dxfId="1466" priority="1697" operator="equal">
      <formula>"Muy Baja"</formula>
    </cfRule>
  </conditionalFormatting>
  <conditionalFormatting sqref="O37">
    <cfRule type="cellIs" dxfId="1465" priority="1688" operator="equal">
      <formula>"Catastrófico"</formula>
    </cfRule>
    <cfRule type="cellIs" dxfId="1464" priority="1689" operator="equal">
      <formula>"Mayor"</formula>
    </cfRule>
    <cfRule type="cellIs" dxfId="1463" priority="1690" operator="equal">
      <formula>"Moderado"</formula>
    </cfRule>
    <cfRule type="cellIs" dxfId="1462" priority="1691" operator="equal">
      <formula>"Menor"</formula>
    </cfRule>
    <cfRule type="cellIs" dxfId="1461" priority="1692" operator="equal">
      <formula>"Leve"</formula>
    </cfRule>
  </conditionalFormatting>
  <conditionalFormatting sqref="Q37">
    <cfRule type="cellIs" dxfId="1460" priority="1684" operator="equal">
      <formula>"Extremo"</formula>
    </cfRule>
    <cfRule type="cellIs" dxfId="1459" priority="1685" operator="equal">
      <formula>"Alto"</formula>
    </cfRule>
    <cfRule type="cellIs" dxfId="1458" priority="1686" operator="equal">
      <formula>"Moderado"</formula>
    </cfRule>
    <cfRule type="cellIs" dxfId="1457" priority="1687" operator="equal">
      <formula>"Bajo"</formula>
    </cfRule>
  </conditionalFormatting>
  <conditionalFormatting sqref="N37:N39">
    <cfRule type="containsText" dxfId="1456" priority="1683" operator="containsText" text="❌">
      <formula>NOT(ISERROR(SEARCH("❌",N37)))</formula>
    </cfRule>
  </conditionalFormatting>
  <conditionalFormatting sqref="K40">
    <cfRule type="cellIs" dxfId="1455" priority="1663" operator="equal">
      <formula>"Muy Alta"</formula>
    </cfRule>
    <cfRule type="cellIs" dxfId="1454" priority="1664" operator="equal">
      <formula>"Alta"</formula>
    </cfRule>
    <cfRule type="cellIs" dxfId="1453" priority="1665" operator="equal">
      <formula>"Media"</formula>
    </cfRule>
    <cfRule type="cellIs" dxfId="1452" priority="1666" operator="equal">
      <formula>"Baja"</formula>
    </cfRule>
    <cfRule type="cellIs" dxfId="1451" priority="1667" operator="equal">
      <formula>"Muy Baja"</formula>
    </cfRule>
  </conditionalFormatting>
  <conditionalFormatting sqref="O40">
    <cfRule type="cellIs" dxfId="1450" priority="1658" operator="equal">
      <formula>"Catastrófico"</formula>
    </cfRule>
    <cfRule type="cellIs" dxfId="1449" priority="1659" operator="equal">
      <formula>"Mayor"</formula>
    </cfRule>
    <cfRule type="cellIs" dxfId="1448" priority="1660" operator="equal">
      <formula>"Moderado"</formula>
    </cfRule>
    <cfRule type="cellIs" dxfId="1447" priority="1661" operator="equal">
      <formula>"Menor"</formula>
    </cfRule>
    <cfRule type="cellIs" dxfId="1446" priority="1662" operator="equal">
      <formula>"Leve"</formula>
    </cfRule>
  </conditionalFormatting>
  <conditionalFormatting sqref="Q40">
    <cfRule type="cellIs" dxfId="1445" priority="1654" operator="equal">
      <formula>"Extremo"</formula>
    </cfRule>
    <cfRule type="cellIs" dxfId="1444" priority="1655" operator="equal">
      <formula>"Alto"</formula>
    </cfRule>
    <cfRule type="cellIs" dxfId="1443" priority="1656" operator="equal">
      <formula>"Moderado"</formula>
    </cfRule>
    <cfRule type="cellIs" dxfId="1442" priority="1657" operator="equal">
      <formula>"Bajo"</formula>
    </cfRule>
  </conditionalFormatting>
  <conditionalFormatting sqref="N40:N42">
    <cfRule type="containsText" dxfId="1441" priority="1653" operator="containsText" text="❌">
      <formula>NOT(ISERROR(SEARCH("❌",N40)))</formula>
    </cfRule>
  </conditionalFormatting>
  <conditionalFormatting sqref="K43">
    <cfRule type="cellIs" dxfId="1440" priority="1648" operator="equal">
      <formula>"Muy Alta"</formula>
    </cfRule>
    <cfRule type="cellIs" dxfId="1439" priority="1649" operator="equal">
      <formula>"Alta"</formula>
    </cfRule>
    <cfRule type="cellIs" dxfId="1438" priority="1650" operator="equal">
      <formula>"Media"</formula>
    </cfRule>
    <cfRule type="cellIs" dxfId="1437" priority="1651" operator="equal">
      <formula>"Baja"</formula>
    </cfRule>
    <cfRule type="cellIs" dxfId="1436" priority="1652" operator="equal">
      <formula>"Muy Baja"</formula>
    </cfRule>
  </conditionalFormatting>
  <conditionalFormatting sqref="O43">
    <cfRule type="cellIs" dxfId="1435" priority="1643" operator="equal">
      <formula>"Catastrófico"</formula>
    </cfRule>
    <cfRule type="cellIs" dxfId="1434" priority="1644" operator="equal">
      <formula>"Mayor"</formula>
    </cfRule>
    <cfRule type="cellIs" dxfId="1433" priority="1645" operator="equal">
      <formula>"Moderado"</formula>
    </cfRule>
    <cfRule type="cellIs" dxfId="1432" priority="1646" operator="equal">
      <formula>"Menor"</formula>
    </cfRule>
    <cfRule type="cellIs" dxfId="1431" priority="1647" operator="equal">
      <formula>"Leve"</formula>
    </cfRule>
  </conditionalFormatting>
  <conditionalFormatting sqref="Q43">
    <cfRule type="cellIs" dxfId="1430" priority="1639" operator="equal">
      <formula>"Extremo"</formula>
    </cfRule>
    <cfRule type="cellIs" dxfId="1429" priority="1640" operator="equal">
      <formula>"Alto"</formula>
    </cfRule>
    <cfRule type="cellIs" dxfId="1428" priority="1641" operator="equal">
      <formula>"Moderado"</formula>
    </cfRule>
    <cfRule type="cellIs" dxfId="1427" priority="1642" operator="equal">
      <formula>"Bajo"</formula>
    </cfRule>
  </conditionalFormatting>
  <conditionalFormatting sqref="N43:N45">
    <cfRule type="containsText" dxfId="1426" priority="1638" operator="containsText" text="❌">
      <formula>NOT(ISERROR(SEARCH("❌",N43)))</formula>
    </cfRule>
  </conditionalFormatting>
  <conditionalFormatting sqref="K46">
    <cfRule type="cellIs" dxfId="1425" priority="1633" operator="equal">
      <formula>"Muy Alta"</formula>
    </cfRule>
    <cfRule type="cellIs" dxfId="1424" priority="1634" operator="equal">
      <formula>"Alta"</formula>
    </cfRule>
    <cfRule type="cellIs" dxfId="1423" priority="1635" operator="equal">
      <formula>"Media"</formula>
    </cfRule>
    <cfRule type="cellIs" dxfId="1422" priority="1636" operator="equal">
      <formula>"Baja"</formula>
    </cfRule>
    <cfRule type="cellIs" dxfId="1421" priority="1637" operator="equal">
      <formula>"Muy Baja"</formula>
    </cfRule>
  </conditionalFormatting>
  <conditionalFormatting sqref="O46">
    <cfRule type="cellIs" dxfId="1420" priority="1628" operator="equal">
      <formula>"Catastrófico"</formula>
    </cfRule>
    <cfRule type="cellIs" dxfId="1419" priority="1629" operator="equal">
      <formula>"Mayor"</formula>
    </cfRule>
    <cfRule type="cellIs" dxfId="1418" priority="1630" operator="equal">
      <formula>"Moderado"</formula>
    </cfRule>
    <cfRule type="cellIs" dxfId="1417" priority="1631" operator="equal">
      <formula>"Menor"</formula>
    </cfRule>
    <cfRule type="cellIs" dxfId="1416" priority="1632" operator="equal">
      <formula>"Leve"</formula>
    </cfRule>
  </conditionalFormatting>
  <conditionalFormatting sqref="Q46">
    <cfRule type="cellIs" dxfId="1415" priority="1624" operator="equal">
      <formula>"Extremo"</formula>
    </cfRule>
    <cfRule type="cellIs" dxfId="1414" priority="1625" operator="equal">
      <formula>"Alto"</formula>
    </cfRule>
    <cfRule type="cellIs" dxfId="1413" priority="1626" operator="equal">
      <formula>"Moderado"</formula>
    </cfRule>
    <cfRule type="cellIs" dxfId="1412" priority="1627" operator="equal">
      <formula>"Bajo"</formula>
    </cfRule>
  </conditionalFormatting>
  <conditionalFormatting sqref="N46:N48">
    <cfRule type="containsText" dxfId="1411" priority="1623" operator="containsText" text="❌">
      <formula>NOT(ISERROR(SEARCH("❌",N46)))</formula>
    </cfRule>
  </conditionalFormatting>
  <conditionalFormatting sqref="K49">
    <cfRule type="cellIs" dxfId="1410" priority="1618" operator="equal">
      <formula>"Muy Alta"</formula>
    </cfRule>
    <cfRule type="cellIs" dxfId="1409" priority="1619" operator="equal">
      <formula>"Alta"</formula>
    </cfRule>
    <cfRule type="cellIs" dxfId="1408" priority="1620" operator="equal">
      <formula>"Media"</formula>
    </cfRule>
    <cfRule type="cellIs" dxfId="1407" priority="1621" operator="equal">
      <formula>"Baja"</formula>
    </cfRule>
    <cfRule type="cellIs" dxfId="1406" priority="1622" operator="equal">
      <formula>"Muy Baja"</formula>
    </cfRule>
  </conditionalFormatting>
  <conditionalFormatting sqref="O49">
    <cfRule type="cellIs" dxfId="1405" priority="1613" operator="equal">
      <formula>"Catastrófico"</formula>
    </cfRule>
    <cfRule type="cellIs" dxfId="1404" priority="1614" operator="equal">
      <formula>"Mayor"</formula>
    </cfRule>
    <cfRule type="cellIs" dxfId="1403" priority="1615" operator="equal">
      <formula>"Moderado"</formula>
    </cfRule>
    <cfRule type="cellIs" dxfId="1402" priority="1616" operator="equal">
      <formula>"Menor"</formula>
    </cfRule>
    <cfRule type="cellIs" dxfId="1401" priority="1617" operator="equal">
      <formula>"Leve"</formula>
    </cfRule>
  </conditionalFormatting>
  <conditionalFormatting sqref="Q49">
    <cfRule type="cellIs" dxfId="1400" priority="1609" operator="equal">
      <formula>"Extremo"</formula>
    </cfRule>
    <cfRule type="cellIs" dxfId="1399" priority="1610" operator="equal">
      <formula>"Alto"</formula>
    </cfRule>
    <cfRule type="cellIs" dxfId="1398" priority="1611" operator="equal">
      <formula>"Moderado"</formula>
    </cfRule>
    <cfRule type="cellIs" dxfId="1397" priority="1612" operator="equal">
      <formula>"Bajo"</formula>
    </cfRule>
  </conditionalFormatting>
  <conditionalFormatting sqref="N49:N51">
    <cfRule type="containsText" dxfId="1396" priority="1608" operator="containsText" text="❌">
      <formula>NOT(ISERROR(SEARCH("❌",N49)))</formula>
    </cfRule>
  </conditionalFormatting>
  <conditionalFormatting sqref="K52">
    <cfRule type="cellIs" dxfId="1395" priority="1603" operator="equal">
      <formula>"Muy Alta"</formula>
    </cfRule>
    <cfRule type="cellIs" dxfId="1394" priority="1604" operator="equal">
      <formula>"Alta"</formula>
    </cfRule>
    <cfRule type="cellIs" dxfId="1393" priority="1605" operator="equal">
      <formula>"Media"</formula>
    </cfRule>
    <cfRule type="cellIs" dxfId="1392" priority="1606" operator="equal">
      <formula>"Baja"</formula>
    </cfRule>
    <cfRule type="cellIs" dxfId="1391" priority="1607" operator="equal">
      <formula>"Muy Baja"</formula>
    </cfRule>
  </conditionalFormatting>
  <conditionalFormatting sqref="O52">
    <cfRule type="cellIs" dxfId="1390" priority="1598" operator="equal">
      <formula>"Catastrófico"</formula>
    </cfRule>
    <cfRule type="cellIs" dxfId="1389" priority="1599" operator="equal">
      <formula>"Mayor"</formula>
    </cfRule>
    <cfRule type="cellIs" dxfId="1388" priority="1600" operator="equal">
      <formula>"Moderado"</formula>
    </cfRule>
    <cfRule type="cellIs" dxfId="1387" priority="1601" operator="equal">
      <formula>"Menor"</formula>
    </cfRule>
    <cfRule type="cellIs" dxfId="1386" priority="1602" operator="equal">
      <formula>"Leve"</formula>
    </cfRule>
  </conditionalFormatting>
  <conditionalFormatting sqref="Q52">
    <cfRule type="cellIs" dxfId="1385" priority="1594" operator="equal">
      <formula>"Extremo"</formula>
    </cfRule>
    <cfRule type="cellIs" dxfId="1384" priority="1595" operator="equal">
      <formula>"Alto"</formula>
    </cfRule>
    <cfRule type="cellIs" dxfId="1383" priority="1596" operator="equal">
      <formula>"Moderado"</formula>
    </cfRule>
    <cfRule type="cellIs" dxfId="1382" priority="1597" operator="equal">
      <formula>"Bajo"</formula>
    </cfRule>
  </conditionalFormatting>
  <conditionalFormatting sqref="N52:N54">
    <cfRule type="containsText" dxfId="1381" priority="1593" operator="containsText" text="❌">
      <formula>NOT(ISERROR(SEARCH("❌",N52)))</formula>
    </cfRule>
  </conditionalFormatting>
  <conditionalFormatting sqref="K55">
    <cfRule type="cellIs" dxfId="1380" priority="1588" operator="equal">
      <formula>"Muy Alta"</formula>
    </cfRule>
    <cfRule type="cellIs" dxfId="1379" priority="1589" operator="equal">
      <formula>"Alta"</formula>
    </cfRule>
    <cfRule type="cellIs" dxfId="1378" priority="1590" operator="equal">
      <formula>"Media"</formula>
    </cfRule>
    <cfRule type="cellIs" dxfId="1377" priority="1591" operator="equal">
      <formula>"Baja"</formula>
    </cfRule>
    <cfRule type="cellIs" dxfId="1376" priority="1592" operator="equal">
      <formula>"Muy Baja"</formula>
    </cfRule>
  </conditionalFormatting>
  <conditionalFormatting sqref="O55">
    <cfRule type="cellIs" dxfId="1375" priority="1583" operator="equal">
      <formula>"Catastrófico"</formula>
    </cfRule>
    <cfRule type="cellIs" dxfId="1374" priority="1584" operator="equal">
      <formula>"Mayor"</formula>
    </cfRule>
    <cfRule type="cellIs" dxfId="1373" priority="1585" operator="equal">
      <formula>"Moderado"</formula>
    </cfRule>
    <cfRule type="cellIs" dxfId="1372" priority="1586" operator="equal">
      <formula>"Menor"</formula>
    </cfRule>
    <cfRule type="cellIs" dxfId="1371" priority="1587" operator="equal">
      <formula>"Leve"</formula>
    </cfRule>
  </conditionalFormatting>
  <conditionalFormatting sqref="Q55">
    <cfRule type="cellIs" dxfId="1370" priority="1579" operator="equal">
      <formula>"Extremo"</formula>
    </cfRule>
    <cfRule type="cellIs" dxfId="1369" priority="1580" operator="equal">
      <formula>"Alto"</formula>
    </cfRule>
    <cfRule type="cellIs" dxfId="1368" priority="1581" operator="equal">
      <formula>"Moderado"</formula>
    </cfRule>
    <cfRule type="cellIs" dxfId="1367" priority="1582" operator="equal">
      <formula>"Bajo"</formula>
    </cfRule>
  </conditionalFormatting>
  <conditionalFormatting sqref="N55:N57">
    <cfRule type="containsText" dxfId="1366" priority="1578" operator="containsText" text="❌">
      <formula>NOT(ISERROR(SEARCH("❌",N55)))</formula>
    </cfRule>
  </conditionalFormatting>
  <conditionalFormatting sqref="K58">
    <cfRule type="cellIs" dxfId="1365" priority="1573" operator="equal">
      <formula>"Muy Alta"</formula>
    </cfRule>
    <cfRule type="cellIs" dxfId="1364" priority="1574" operator="equal">
      <formula>"Alta"</formula>
    </cfRule>
    <cfRule type="cellIs" dxfId="1363" priority="1575" operator="equal">
      <formula>"Media"</formula>
    </cfRule>
    <cfRule type="cellIs" dxfId="1362" priority="1576" operator="equal">
      <formula>"Baja"</formula>
    </cfRule>
    <cfRule type="cellIs" dxfId="1361" priority="1577" operator="equal">
      <formula>"Muy Baja"</formula>
    </cfRule>
  </conditionalFormatting>
  <conditionalFormatting sqref="O58">
    <cfRule type="cellIs" dxfId="1360" priority="1568" operator="equal">
      <formula>"Catastrófico"</formula>
    </cfRule>
    <cfRule type="cellIs" dxfId="1359" priority="1569" operator="equal">
      <formula>"Mayor"</formula>
    </cfRule>
    <cfRule type="cellIs" dxfId="1358" priority="1570" operator="equal">
      <formula>"Moderado"</formula>
    </cfRule>
    <cfRule type="cellIs" dxfId="1357" priority="1571" operator="equal">
      <formula>"Menor"</formula>
    </cfRule>
    <cfRule type="cellIs" dxfId="1356" priority="1572" operator="equal">
      <formula>"Leve"</formula>
    </cfRule>
  </conditionalFormatting>
  <conditionalFormatting sqref="Q58">
    <cfRule type="cellIs" dxfId="1355" priority="1564" operator="equal">
      <formula>"Extremo"</formula>
    </cfRule>
    <cfRule type="cellIs" dxfId="1354" priority="1565" operator="equal">
      <formula>"Alto"</formula>
    </cfRule>
    <cfRule type="cellIs" dxfId="1353" priority="1566" operator="equal">
      <formula>"Moderado"</formula>
    </cfRule>
    <cfRule type="cellIs" dxfId="1352" priority="1567" operator="equal">
      <formula>"Bajo"</formula>
    </cfRule>
  </conditionalFormatting>
  <conditionalFormatting sqref="N58:N60">
    <cfRule type="containsText" dxfId="1351" priority="1563" operator="containsText" text="❌">
      <formula>NOT(ISERROR(SEARCH("❌",N58)))</formula>
    </cfRule>
  </conditionalFormatting>
  <conditionalFormatting sqref="K61">
    <cfRule type="cellIs" dxfId="1350" priority="1558" operator="equal">
      <formula>"Muy Alta"</formula>
    </cfRule>
    <cfRule type="cellIs" dxfId="1349" priority="1559" operator="equal">
      <formula>"Alta"</formula>
    </cfRule>
    <cfRule type="cellIs" dxfId="1348" priority="1560" operator="equal">
      <formula>"Media"</formula>
    </cfRule>
    <cfRule type="cellIs" dxfId="1347" priority="1561" operator="equal">
      <formula>"Baja"</formula>
    </cfRule>
    <cfRule type="cellIs" dxfId="1346" priority="1562" operator="equal">
      <formula>"Muy Baja"</formula>
    </cfRule>
  </conditionalFormatting>
  <conditionalFormatting sqref="O61">
    <cfRule type="cellIs" dxfId="1345" priority="1553" operator="equal">
      <formula>"Catastrófico"</formula>
    </cfRule>
    <cfRule type="cellIs" dxfId="1344" priority="1554" operator="equal">
      <formula>"Mayor"</formula>
    </cfRule>
    <cfRule type="cellIs" dxfId="1343" priority="1555" operator="equal">
      <formula>"Moderado"</formula>
    </cfRule>
    <cfRule type="cellIs" dxfId="1342" priority="1556" operator="equal">
      <formula>"Menor"</formula>
    </cfRule>
    <cfRule type="cellIs" dxfId="1341" priority="1557" operator="equal">
      <formula>"Leve"</formula>
    </cfRule>
  </conditionalFormatting>
  <conditionalFormatting sqref="Q61">
    <cfRule type="cellIs" dxfId="1340" priority="1549" operator="equal">
      <formula>"Extremo"</formula>
    </cfRule>
    <cfRule type="cellIs" dxfId="1339" priority="1550" operator="equal">
      <formula>"Alto"</formula>
    </cfRule>
    <cfRule type="cellIs" dxfId="1338" priority="1551" operator="equal">
      <formula>"Moderado"</formula>
    </cfRule>
    <cfRule type="cellIs" dxfId="1337" priority="1552" operator="equal">
      <formula>"Bajo"</formula>
    </cfRule>
  </conditionalFormatting>
  <conditionalFormatting sqref="N61:N63">
    <cfRule type="containsText" dxfId="1336" priority="1548" operator="containsText" text="❌">
      <formula>NOT(ISERROR(SEARCH("❌",N61)))</formula>
    </cfRule>
  </conditionalFormatting>
  <conditionalFormatting sqref="K64">
    <cfRule type="cellIs" dxfId="1335" priority="1543" operator="equal">
      <formula>"Muy Alta"</formula>
    </cfRule>
    <cfRule type="cellIs" dxfId="1334" priority="1544" operator="equal">
      <formula>"Alta"</formula>
    </cfRule>
    <cfRule type="cellIs" dxfId="1333" priority="1545" operator="equal">
      <formula>"Media"</formula>
    </cfRule>
    <cfRule type="cellIs" dxfId="1332" priority="1546" operator="equal">
      <formula>"Baja"</formula>
    </cfRule>
    <cfRule type="cellIs" dxfId="1331" priority="1547" operator="equal">
      <formula>"Muy Baja"</formula>
    </cfRule>
  </conditionalFormatting>
  <conditionalFormatting sqref="O64">
    <cfRule type="cellIs" dxfId="1330" priority="1538" operator="equal">
      <formula>"Catastrófico"</formula>
    </cfRule>
    <cfRule type="cellIs" dxfId="1329" priority="1539" operator="equal">
      <formula>"Mayor"</formula>
    </cfRule>
    <cfRule type="cellIs" dxfId="1328" priority="1540" operator="equal">
      <formula>"Moderado"</formula>
    </cfRule>
    <cfRule type="cellIs" dxfId="1327" priority="1541" operator="equal">
      <formula>"Menor"</formula>
    </cfRule>
    <cfRule type="cellIs" dxfId="1326" priority="1542" operator="equal">
      <formula>"Leve"</formula>
    </cfRule>
  </conditionalFormatting>
  <conditionalFormatting sqref="Q64">
    <cfRule type="cellIs" dxfId="1325" priority="1534" operator="equal">
      <formula>"Extremo"</formula>
    </cfRule>
    <cfRule type="cellIs" dxfId="1324" priority="1535" operator="equal">
      <formula>"Alto"</formula>
    </cfRule>
    <cfRule type="cellIs" dxfId="1323" priority="1536" operator="equal">
      <formula>"Moderado"</formula>
    </cfRule>
    <cfRule type="cellIs" dxfId="1322" priority="1537" operator="equal">
      <formula>"Bajo"</formula>
    </cfRule>
  </conditionalFormatting>
  <conditionalFormatting sqref="N64:N66">
    <cfRule type="containsText" dxfId="1321" priority="1533" operator="containsText" text="❌">
      <formula>NOT(ISERROR(SEARCH("❌",N64)))</formula>
    </cfRule>
  </conditionalFormatting>
  <conditionalFormatting sqref="K70">
    <cfRule type="cellIs" dxfId="1320" priority="1528" operator="equal">
      <formula>"Muy Alta"</formula>
    </cfRule>
    <cfRule type="cellIs" dxfId="1319" priority="1529" operator="equal">
      <formula>"Alta"</formula>
    </cfRule>
    <cfRule type="cellIs" dxfId="1318" priority="1530" operator="equal">
      <formula>"Media"</formula>
    </cfRule>
    <cfRule type="cellIs" dxfId="1317" priority="1531" operator="equal">
      <formula>"Baja"</formula>
    </cfRule>
    <cfRule type="cellIs" dxfId="1316" priority="1532" operator="equal">
      <formula>"Muy Baja"</formula>
    </cfRule>
  </conditionalFormatting>
  <conditionalFormatting sqref="O70">
    <cfRule type="cellIs" dxfId="1315" priority="1523" operator="equal">
      <formula>"Catastrófico"</formula>
    </cfRule>
    <cfRule type="cellIs" dxfId="1314" priority="1524" operator="equal">
      <formula>"Mayor"</formula>
    </cfRule>
    <cfRule type="cellIs" dxfId="1313" priority="1525" operator="equal">
      <formula>"Moderado"</formula>
    </cfRule>
    <cfRule type="cellIs" dxfId="1312" priority="1526" operator="equal">
      <formula>"Menor"</formula>
    </cfRule>
    <cfRule type="cellIs" dxfId="1311" priority="1527" operator="equal">
      <formula>"Leve"</formula>
    </cfRule>
  </conditionalFormatting>
  <conditionalFormatting sqref="Q70">
    <cfRule type="cellIs" dxfId="1310" priority="1519" operator="equal">
      <formula>"Extremo"</formula>
    </cfRule>
    <cfRule type="cellIs" dxfId="1309" priority="1520" operator="equal">
      <formula>"Alto"</formula>
    </cfRule>
    <cfRule type="cellIs" dxfId="1308" priority="1521" operator="equal">
      <formula>"Moderado"</formula>
    </cfRule>
    <cfRule type="cellIs" dxfId="1307" priority="1522" operator="equal">
      <formula>"Bajo"</formula>
    </cfRule>
  </conditionalFormatting>
  <conditionalFormatting sqref="N70:N72">
    <cfRule type="containsText" dxfId="1306" priority="1518" operator="containsText" text="❌">
      <formula>NOT(ISERROR(SEARCH("❌",N70)))</formula>
    </cfRule>
  </conditionalFormatting>
  <conditionalFormatting sqref="K73">
    <cfRule type="cellIs" dxfId="1305" priority="1513" operator="equal">
      <formula>"Muy Alta"</formula>
    </cfRule>
    <cfRule type="cellIs" dxfId="1304" priority="1514" operator="equal">
      <formula>"Alta"</formula>
    </cfRule>
    <cfRule type="cellIs" dxfId="1303" priority="1515" operator="equal">
      <formula>"Media"</formula>
    </cfRule>
    <cfRule type="cellIs" dxfId="1302" priority="1516" operator="equal">
      <formula>"Baja"</formula>
    </cfRule>
    <cfRule type="cellIs" dxfId="1301" priority="1517" operator="equal">
      <formula>"Muy Baja"</formula>
    </cfRule>
  </conditionalFormatting>
  <conditionalFormatting sqref="O73">
    <cfRule type="cellIs" dxfId="1300" priority="1508" operator="equal">
      <formula>"Catastrófico"</formula>
    </cfRule>
    <cfRule type="cellIs" dxfId="1299" priority="1509" operator="equal">
      <formula>"Mayor"</formula>
    </cfRule>
    <cfRule type="cellIs" dxfId="1298" priority="1510" operator="equal">
      <formula>"Moderado"</formula>
    </cfRule>
    <cfRule type="cellIs" dxfId="1297" priority="1511" operator="equal">
      <formula>"Menor"</formula>
    </cfRule>
    <cfRule type="cellIs" dxfId="1296" priority="1512" operator="equal">
      <formula>"Leve"</formula>
    </cfRule>
  </conditionalFormatting>
  <conditionalFormatting sqref="Q73">
    <cfRule type="cellIs" dxfId="1295" priority="1504" operator="equal">
      <formula>"Extremo"</formula>
    </cfRule>
    <cfRule type="cellIs" dxfId="1294" priority="1505" operator="equal">
      <formula>"Alto"</formula>
    </cfRule>
    <cfRule type="cellIs" dxfId="1293" priority="1506" operator="equal">
      <formula>"Moderado"</formula>
    </cfRule>
    <cfRule type="cellIs" dxfId="1292" priority="1507" operator="equal">
      <formula>"Bajo"</formula>
    </cfRule>
  </conditionalFormatting>
  <conditionalFormatting sqref="N73:N75">
    <cfRule type="containsText" dxfId="1291" priority="1503" operator="containsText" text="❌">
      <formula>NOT(ISERROR(SEARCH("❌",N73)))</formula>
    </cfRule>
  </conditionalFormatting>
  <conditionalFormatting sqref="K76">
    <cfRule type="cellIs" dxfId="1290" priority="1498" operator="equal">
      <formula>"Muy Alta"</formula>
    </cfRule>
    <cfRule type="cellIs" dxfId="1289" priority="1499" operator="equal">
      <formula>"Alta"</formula>
    </cfRule>
    <cfRule type="cellIs" dxfId="1288" priority="1500" operator="equal">
      <formula>"Media"</formula>
    </cfRule>
    <cfRule type="cellIs" dxfId="1287" priority="1501" operator="equal">
      <formula>"Baja"</formula>
    </cfRule>
    <cfRule type="cellIs" dxfId="1286" priority="1502" operator="equal">
      <formula>"Muy Baja"</formula>
    </cfRule>
  </conditionalFormatting>
  <conditionalFormatting sqref="O76">
    <cfRule type="cellIs" dxfId="1285" priority="1493" operator="equal">
      <formula>"Catastrófico"</formula>
    </cfRule>
    <cfRule type="cellIs" dxfId="1284" priority="1494" operator="equal">
      <formula>"Mayor"</formula>
    </cfRule>
    <cfRule type="cellIs" dxfId="1283" priority="1495" operator="equal">
      <formula>"Moderado"</formula>
    </cfRule>
    <cfRule type="cellIs" dxfId="1282" priority="1496" operator="equal">
      <formula>"Menor"</formula>
    </cfRule>
    <cfRule type="cellIs" dxfId="1281" priority="1497" operator="equal">
      <formula>"Leve"</formula>
    </cfRule>
  </conditionalFormatting>
  <conditionalFormatting sqref="Q76">
    <cfRule type="cellIs" dxfId="1280" priority="1489" operator="equal">
      <formula>"Extremo"</formula>
    </cfRule>
    <cfRule type="cellIs" dxfId="1279" priority="1490" operator="equal">
      <formula>"Alto"</formula>
    </cfRule>
    <cfRule type="cellIs" dxfId="1278" priority="1491" operator="equal">
      <formula>"Moderado"</formula>
    </cfRule>
    <cfRule type="cellIs" dxfId="1277" priority="1492" operator="equal">
      <formula>"Bajo"</formula>
    </cfRule>
  </conditionalFormatting>
  <conditionalFormatting sqref="N76:N78">
    <cfRule type="containsText" dxfId="1276" priority="1488" operator="containsText" text="❌">
      <formula>NOT(ISERROR(SEARCH("❌",N76)))</formula>
    </cfRule>
  </conditionalFormatting>
  <conditionalFormatting sqref="O79">
    <cfRule type="cellIs" dxfId="1275" priority="1478" operator="equal">
      <formula>"Catastrófico"</formula>
    </cfRule>
    <cfRule type="cellIs" dxfId="1274" priority="1479" operator="equal">
      <formula>"Mayor"</formula>
    </cfRule>
    <cfRule type="cellIs" dxfId="1273" priority="1480" operator="equal">
      <formula>"Moderado"</formula>
    </cfRule>
    <cfRule type="cellIs" dxfId="1272" priority="1481" operator="equal">
      <formula>"Menor"</formula>
    </cfRule>
    <cfRule type="cellIs" dxfId="1271" priority="1482" operator="equal">
      <formula>"Leve"</formula>
    </cfRule>
  </conditionalFormatting>
  <conditionalFormatting sqref="Q79">
    <cfRule type="cellIs" dxfId="1270" priority="1474" operator="equal">
      <formula>"Extremo"</formula>
    </cfRule>
    <cfRule type="cellIs" dxfId="1269" priority="1475" operator="equal">
      <formula>"Alto"</formula>
    </cfRule>
    <cfRule type="cellIs" dxfId="1268" priority="1476" operator="equal">
      <formula>"Moderado"</formula>
    </cfRule>
    <cfRule type="cellIs" dxfId="1267" priority="1477" operator="equal">
      <formula>"Bajo"</formula>
    </cfRule>
  </conditionalFormatting>
  <conditionalFormatting sqref="N79:N81">
    <cfRule type="containsText" dxfId="1266" priority="1473" operator="containsText" text="❌">
      <formula>NOT(ISERROR(SEARCH("❌",N79)))</formula>
    </cfRule>
  </conditionalFormatting>
  <conditionalFormatting sqref="K85">
    <cfRule type="cellIs" dxfId="1265" priority="1468" operator="equal">
      <formula>"Muy Alta"</formula>
    </cfRule>
    <cfRule type="cellIs" dxfId="1264" priority="1469" operator="equal">
      <formula>"Alta"</formula>
    </cfRule>
    <cfRule type="cellIs" dxfId="1263" priority="1470" operator="equal">
      <formula>"Media"</formula>
    </cfRule>
    <cfRule type="cellIs" dxfId="1262" priority="1471" operator="equal">
      <formula>"Baja"</formula>
    </cfRule>
    <cfRule type="cellIs" dxfId="1261" priority="1472" operator="equal">
      <formula>"Muy Baja"</formula>
    </cfRule>
  </conditionalFormatting>
  <conditionalFormatting sqref="O85">
    <cfRule type="cellIs" dxfId="1260" priority="1463" operator="equal">
      <formula>"Catastrófico"</formula>
    </cfRule>
    <cfRule type="cellIs" dxfId="1259" priority="1464" operator="equal">
      <formula>"Mayor"</formula>
    </cfRule>
    <cfRule type="cellIs" dxfId="1258" priority="1465" operator="equal">
      <formula>"Moderado"</formula>
    </cfRule>
    <cfRule type="cellIs" dxfId="1257" priority="1466" operator="equal">
      <formula>"Menor"</formula>
    </cfRule>
    <cfRule type="cellIs" dxfId="1256" priority="1467" operator="equal">
      <formula>"Leve"</formula>
    </cfRule>
  </conditionalFormatting>
  <conditionalFormatting sqref="Q85">
    <cfRule type="cellIs" dxfId="1255" priority="1459" operator="equal">
      <formula>"Extremo"</formula>
    </cfRule>
    <cfRule type="cellIs" dxfId="1254" priority="1460" operator="equal">
      <formula>"Alto"</formula>
    </cfRule>
    <cfRule type="cellIs" dxfId="1253" priority="1461" operator="equal">
      <formula>"Moderado"</formula>
    </cfRule>
    <cfRule type="cellIs" dxfId="1252" priority="1462" operator="equal">
      <formula>"Bajo"</formula>
    </cfRule>
  </conditionalFormatting>
  <conditionalFormatting sqref="N85:N87">
    <cfRule type="containsText" dxfId="1251" priority="1458" operator="containsText" text="❌">
      <formula>NOT(ISERROR(SEARCH("❌",N85)))</formula>
    </cfRule>
  </conditionalFormatting>
  <conditionalFormatting sqref="K88">
    <cfRule type="cellIs" dxfId="1250" priority="1453" operator="equal">
      <formula>"Muy Alta"</formula>
    </cfRule>
    <cfRule type="cellIs" dxfId="1249" priority="1454" operator="equal">
      <formula>"Alta"</formula>
    </cfRule>
    <cfRule type="cellIs" dxfId="1248" priority="1455" operator="equal">
      <formula>"Media"</formula>
    </cfRule>
    <cfRule type="cellIs" dxfId="1247" priority="1456" operator="equal">
      <formula>"Baja"</formula>
    </cfRule>
    <cfRule type="cellIs" dxfId="1246" priority="1457" operator="equal">
      <formula>"Muy Baja"</formula>
    </cfRule>
  </conditionalFormatting>
  <conditionalFormatting sqref="O88">
    <cfRule type="cellIs" dxfId="1245" priority="1448" operator="equal">
      <formula>"Catastrófico"</formula>
    </cfRule>
    <cfRule type="cellIs" dxfId="1244" priority="1449" operator="equal">
      <formula>"Mayor"</formula>
    </cfRule>
    <cfRule type="cellIs" dxfId="1243" priority="1450" operator="equal">
      <formula>"Moderado"</formula>
    </cfRule>
    <cfRule type="cellIs" dxfId="1242" priority="1451" operator="equal">
      <formula>"Menor"</formula>
    </cfRule>
    <cfRule type="cellIs" dxfId="1241" priority="1452" operator="equal">
      <formula>"Leve"</formula>
    </cfRule>
  </conditionalFormatting>
  <conditionalFormatting sqref="Q88">
    <cfRule type="cellIs" dxfId="1240" priority="1444" operator="equal">
      <formula>"Extremo"</formula>
    </cfRule>
    <cfRule type="cellIs" dxfId="1239" priority="1445" operator="equal">
      <formula>"Alto"</formula>
    </cfRule>
    <cfRule type="cellIs" dxfId="1238" priority="1446" operator="equal">
      <formula>"Moderado"</formula>
    </cfRule>
    <cfRule type="cellIs" dxfId="1237" priority="1447" operator="equal">
      <formula>"Bajo"</formula>
    </cfRule>
  </conditionalFormatting>
  <conditionalFormatting sqref="N88:N90">
    <cfRule type="containsText" dxfId="1236" priority="1443" operator="containsText" text="❌">
      <formula>NOT(ISERROR(SEARCH("❌",N88)))</formula>
    </cfRule>
  </conditionalFormatting>
  <conditionalFormatting sqref="K91">
    <cfRule type="cellIs" dxfId="1235" priority="1438" operator="equal">
      <formula>"Muy Alta"</formula>
    </cfRule>
    <cfRule type="cellIs" dxfId="1234" priority="1439" operator="equal">
      <formula>"Alta"</formula>
    </cfRule>
    <cfRule type="cellIs" dxfId="1233" priority="1440" operator="equal">
      <formula>"Media"</formula>
    </cfRule>
    <cfRule type="cellIs" dxfId="1232" priority="1441" operator="equal">
      <formula>"Baja"</formula>
    </cfRule>
    <cfRule type="cellIs" dxfId="1231" priority="1442" operator="equal">
      <formula>"Muy Baja"</formula>
    </cfRule>
  </conditionalFormatting>
  <conditionalFormatting sqref="O91">
    <cfRule type="cellIs" dxfId="1230" priority="1433" operator="equal">
      <formula>"Catastrófico"</formula>
    </cfRule>
    <cfRule type="cellIs" dxfId="1229" priority="1434" operator="equal">
      <formula>"Mayor"</formula>
    </cfRule>
    <cfRule type="cellIs" dxfId="1228" priority="1435" operator="equal">
      <formula>"Moderado"</formula>
    </cfRule>
    <cfRule type="cellIs" dxfId="1227" priority="1436" operator="equal">
      <formula>"Menor"</formula>
    </cfRule>
    <cfRule type="cellIs" dxfId="1226" priority="1437" operator="equal">
      <formula>"Leve"</formula>
    </cfRule>
  </conditionalFormatting>
  <conditionalFormatting sqref="Q91">
    <cfRule type="cellIs" dxfId="1225" priority="1429" operator="equal">
      <formula>"Extremo"</formula>
    </cfRule>
    <cfRule type="cellIs" dxfId="1224" priority="1430" operator="equal">
      <formula>"Alto"</formula>
    </cfRule>
    <cfRule type="cellIs" dxfId="1223" priority="1431" operator="equal">
      <formula>"Moderado"</formula>
    </cfRule>
    <cfRule type="cellIs" dxfId="1222" priority="1432" operator="equal">
      <formula>"Bajo"</formula>
    </cfRule>
  </conditionalFormatting>
  <conditionalFormatting sqref="N91:N93">
    <cfRule type="containsText" dxfId="1221" priority="1428" operator="containsText" text="❌">
      <formula>NOT(ISERROR(SEARCH("❌",N91)))</formula>
    </cfRule>
  </conditionalFormatting>
  <conditionalFormatting sqref="O94:O95">
    <cfRule type="cellIs" dxfId="1220" priority="1418" operator="equal">
      <formula>"Catastrófico"</formula>
    </cfRule>
    <cfRule type="cellIs" dxfId="1219" priority="1419" operator="equal">
      <formula>"Mayor"</formula>
    </cfRule>
    <cfRule type="cellIs" dxfId="1218" priority="1420" operator="equal">
      <formula>"Moderado"</formula>
    </cfRule>
    <cfRule type="cellIs" dxfId="1217" priority="1421" operator="equal">
      <formula>"Menor"</formula>
    </cfRule>
    <cfRule type="cellIs" dxfId="1216" priority="1422" operator="equal">
      <formula>"Leve"</formula>
    </cfRule>
  </conditionalFormatting>
  <conditionalFormatting sqref="Q94:Q95">
    <cfRule type="cellIs" dxfId="1215" priority="1414" operator="equal">
      <formula>"Extremo"</formula>
    </cfRule>
    <cfRule type="cellIs" dxfId="1214" priority="1415" operator="equal">
      <formula>"Alto"</formula>
    </cfRule>
    <cfRule type="cellIs" dxfId="1213" priority="1416" operator="equal">
      <formula>"Moderado"</formula>
    </cfRule>
    <cfRule type="cellIs" dxfId="1212" priority="1417" operator="equal">
      <formula>"Bajo"</formula>
    </cfRule>
  </conditionalFormatting>
  <conditionalFormatting sqref="N94:N96">
    <cfRule type="containsText" dxfId="1211" priority="1413" operator="containsText" text="❌">
      <formula>NOT(ISERROR(SEARCH("❌",N94)))</formula>
    </cfRule>
  </conditionalFormatting>
  <conditionalFormatting sqref="K100">
    <cfRule type="cellIs" dxfId="1210" priority="1393" operator="equal">
      <formula>"Muy Alta"</formula>
    </cfRule>
    <cfRule type="cellIs" dxfId="1209" priority="1394" operator="equal">
      <formula>"Alta"</formula>
    </cfRule>
    <cfRule type="cellIs" dxfId="1208" priority="1395" operator="equal">
      <formula>"Media"</formula>
    </cfRule>
    <cfRule type="cellIs" dxfId="1207" priority="1396" operator="equal">
      <formula>"Baja"</formula>
    </cfRule>
    <cfRule type="cellIs" dxfId="1206" priority="1397" operator="equal">
      <formula>"Muy Baja"</formula>
    </cfRule>
  </conditionalFormatting>
  <conditionalFormatting sqref="O100">
    <cfRule type="cellIs" dxfId="1205" priority="1388" operator="equal">
      <formula>"Catastrófico"</formula>
    </cfRule>
    <cfRule type="cellIs" dxfId="1204" priority="1389" operator="equal">
      <formula>"Mayor"</formula>
    </cfRule>
    <cfRule type="cellIs" dxfId="1203" priority="1390" operator="equal">
      <formula>"Moderado"</formula>
    </cfRule>
    <cfRule type="cellIs" dxfId="1202" priority="1391" operator="equal">
      <formula>"Menor"</formula>
    </cfRule>
    <cfRule type="cellIs" dxfId="1201" priority="1392" operator="equal">
      <formula>"Leve"</formula>
    </cfRule>
  </conditionalFormatting>
  <conditionalFormatting sqref="Q100">
    <cfRule type="cellIs" dxfId="1200" priority="1384" operator="equal">
      <formula>"Extremo"</formula>
    </cfRule>
    <cfRule type="cellIs" dxfId="1199" priority="1385" operator="equal">
      <formula>"Alto"</formula>
    </cfRule>
    <cfRule type="cellIs" dxfId="1198" priority="1386" operator="equal">
      <formula>"Moderado"</formula>
    </cfRule>
    <cfRule type="cellIs" dxfId="1197" priority="1387" operator="equal">
      <formula>"Bajo"</formula>
    </cfRule>
  </conditionalFormatting>
  <conditionalFormatting sqref="N100:N102">
    <cfRule type="containsText" dxfId="1196" priority="1383" operator="containsText" text="❌">
      <formula>NOT(ISERROR(SEARCH("❌",N100)))</formula>
    </cfRule>
  </conditionalFormatting>
  <conditionalFormatting sqref="K103">
    <cfRule type="cellIs" dxfId="1195" priority="1378" operator="equal">
      <formula>"Muy Alta"</formula>
    </cfRule>
    <cfRule type="cellIs" dxfId="1194" priority="1379" operator="equal">
      <formula>"Alta"</formula>
    </cfRule>
    <cfRule type="cellIs" dxfId="1193" priority="1380" operator="equal">
      <formula>"Media"</formula>
    </cfRule>
    <cfRule type="cellIs" dxfId="1192" priority="1381" operator="equal">
      <formula>"Baja"</formula>
    </cfRule>
    <cfRule type="cellIs" dxfId="1191" priority="1382" operator="equal">
      <formula>"Muy Baja"</formula>
    </cfRule>
  </conditionalFormatting>
  <conditionalFormatting sqref="O103">
    <cfRule type="cellIs" dxfId="1190" priority="1373" operator="equal">
      <formula>"Catastrófico"</formula>
    </cfRule>
    <cfRule type="cellIs" dxfId="1189" priority="1374" operator="equal">
      <formula>"Mayor"</formula>
    </cfRule>
    <cfRule type="cellIs" dxfId="1188" priority="1375" operator="equal">
      <formula>"Moderado"</formula>
    </cfRule>
    <cfRule type="cellIs" dxfId="1187" priority="1376" operator="equal">
      <formula>"Menor"</formula>
    </cfRule>
    <cfRule type="cellIs" dxfId="1186" priority="1377" operator="equal">
      <formula>"Leve"</formula>
    </cfRule>
  </conditionalFormatting>
  <conditionalFormatting sqref="Q103">
    <cfRule type="cellIs" dxfId="1185" priority="1369" operator="equal">
      <formula>"Extremo"</formula>
    </cfRule>
    <cfRule type="cellIs" dxfId="1184" priority="1370" operator="equal">
      <formula>"Alto"</formula>
    </cfRule>
    <cfRule type="cellIs" dxfId="1183" priority="1371" operator="equal">
      <formula>"Moderado"</formula>
    </cfRule>
    <cfRule type="cellIs" dxfId="1182" priority="1372" operator="equal">
      <formula>"Bajo"</formula>
    </cfRule>
  </conditionalFormatting>
  <conditionalFormatting sqref="N103:N105">
    <cfRule type="containsText" dxfId="1181" priority="1368" operator="containsText" text="❌">
      <formula>NOT(ISERROR(SEARCH("❌",N103)))</formula>
    </cfRule>
  </conditionalFormatting>
  <conditionalFormatting sqref="K121">
    <cfRule type="cellIs" dxfId="1180" priority="1363" operator="equal">
      <formula>"Muy Alta"</formula>
    </cfRule>
    <cfRule type="cellIs" dxfId="1179" priority="1364" operator="equal">
      <formula>"Alta"</formula>
    </cfRule>
    <cfRule type="cellIs" dxfId="1178" priority="1365" operator="equal">
      <formula>"Media"</formula>
    </cfRule>
    <cfRule type="cellIs" dxfId="1177" priority="1366" operator="equal">
      <formula>"Baja"</formula>
    </cfRule>
    <cfRule type="cellIs" dxfId="1176" priority="1367" operator="equal">
      <formula>"Muy Baja"</formula>
    </cfRule>
  </conditionalFormatting>
  <conditionalFormatting sqref="O121">
    <cfRule type="cellIs" dxfId="1175" priority="1358" operator="equal">
      <formula>"Catastrófico"</formula>
    </cfRule>
    <cfRule type="cellIs" dxfId="1174" priority="1359" operator="equal">
      <formula>"Mayor"</formula>
    </cfRule>
    <cfRule type="cellIs" dxfId="1173" priority="1360" operator="equal">
      <formula>"Moderado"</formula>
    </cfRule>
    <cfRule type="cellIs" dxfId="1172" priority="1361" operator="equal">
      <formula>"Menor"</formula>
    </cfRule>
    <cfRule type="cellIs" dxfId="1171" priority="1362" operator="equal">
      <formula>"Leve"</formula>
    </cfRule>
  </conditionalFormatting>
  <conditionalFormatting sqref="Q121">
    <cfRule type="cellIs" dxfId="1170" priority="1354" operator="equal">
      <formula>"Extremo"</formula>
    </cfRule>
    <cfRule type="cellIs" dxfId="1169" priority="1355" operator="equal">
      <formula>"Alto"</formula>
    </cfRule>
    <cfRule type="cellIs" dxfId="1168" priority="1356" operator="equal">
      <formula>"Moderado"</formula>
    </cfRule>
    <cfRule type="cellIs" dxfId="1167" priority="1357" operator="equal">
      <formula>"Bajo"</formula>
    </cfRule>
  </conditionalFormatting>
  <conditionalFormatting sqref="N121:N123">
    <cfRule type="containsText" dxfId="1166" priority="1353" operator="containsText" text="❌">
      <formula>NOT(ISERROR(SEARCH("❌",N121)))</formula>
    </cfRule>
  </conditionalFormatting>
  <conditionalFormatting sqref="AB106">
    <cfRule type="cellIs" dxfId="1165" priority="1348" operator="equal">
      <formula>"Muy Alta"</formula>
    </cfRule>
    <cfRule type="cellIs" dxfId="1164" priority="1349" operator="equal">
      <formula>"Alta"</formula>
    </cfRule>
    <cfRule type="cellIs" dxfId="1163" priority="1350" operator="equal">
      <formula>"Media"</formula>
    </cfRule>
    <cfRule type="cellIs" dxfId="1162" priority="1351" operator="equal">
      <formula>"Baja"</formula>
    </cfRule>
    <cfRule type="cellIs" dxfId="1161" priority="1352" operator="equal">
      <formula>"Muy Baja"</formula>
    </cfRule>
  </conditionalFormatting>
  <conditionalFormatting sqref="AD106">
    <cfRule type="cellIs" dxfId="1160" priority="1343" operator="equal">
      <formula>"Catastrófico"</formula>
    </cfRule>
    <cfRule type="cellIs" dxfId="1159" priority="1344" operator="equal">
      <formula>"Mayor"</formula>
    </cfRule>
    <cfRule type="cellIs" dxfId="1158" priority="1345" operator="equal">
      <formula>"Moderado"</formula>
    </cfRule>
    <cfRule type="cellIs" dxfId="1157" priority="1346" operator="equal">
      <formula>"Menor"</formula>
    </cfRule>
    <cfRule type="cellIs" dxfId="1156" priority="1347" operator="equal">
      <formula>"Leve"</formula>
    </cfRule>
  </conditionalFormatting>
  <conditionalFormatting sqref="AF106">
    <cfRule type="cellIs" dxfId="1155" priority="1339" operator="equal">
      <formula>"Extremo"</formula>
    </cfRule>
    <cfRule type="cellIs" dxfId="1154" priority="1340" operator="equal">
      <formula>"Alto"</formula>
    </cfRule>
    <cfRule type="cellIs" dxfId="1153" priority="1341" operator="equal">
      <formula>"Moderado"</formula>
    </cfRule>
    <cfRule type="cellIs" dxfId="1152" priority="1342" operator="equal">
      <formula>"Bajo"</formula>
    </cfRule>
  </conditionalFormatting>
  <conditionalFormatting sqref="AB107">
    <cfRule type="cellIs" dxfId="1151" priority="1334" operator="equal">
      <formula>"Muy Alta"</formula>
    </cfRule>
    <cfRule type="cellIs" dxfId="1150" priority="1335" operator="equal">
      <formula>"Alta"</formula>
    </cfRule>
    <cfRule type="cellIs" dxfId="1149" priority="1336" operator="equal">
      <formula>"Media"</formula>
    </cfRule>
    <cfRule type="cellIs" dxfId="1148" priority="1337" operator="equal">
      <formula>"Baja"</formula>
    </cfRule>
    <cfRule type="cellIs" dxfId="1147" priority="1338" operator="equal">
      <formula>"Muy Baja"</formula>
    </cfRule>
  </conditionalFormatting>
  <conditionalFormatting sqref="AD107">
    <cfRule type="cellIs" dxfId="1146" priority="1329" operator="equal">
      <formula>"Catastrófico"</formula>
    </cfRule>
    <cfRule type="cellIs" dxfId="1145" priority="1330" operator="equal">
      <formula>"Mayor"</formula>
    </cfRule>
    <cfRule type="cellIs" dxfId="1144" priority="1331" operator="equal">
      <formula>"Moderado"</formula>
    </cfRule>
    <cfRule type="cellIs" dxfId="1143" priority="1332" operator="equal">
      <formula>"Menor"</formula>
    </cfRule>
    <cfRule type="cellIs" dxfId="1142" priority="1333" operator="equal">
      <formula>"Leve"</formula>
    </cfRule>
  </conditionalFormatting>
  <conditionalFormatting sqref="AF107">
    <cfRule type="cellIs" dxfId="1141" priority="1325" operator="equal">
      <formula>"Extremo"</formula>
    </cfRule>
    <cfRule type="cellIs" dxfId="1140" priority="1326" operator="equal">
      <formula>"Alto"</formula>
    </cfRule>
    <cfRule type="cellIs" dxfId="1139" priority="1327" operator="equal">
      <formula>"Moderado"</formula>
    </cfRule>
    <cfRule type="cellIs" dxfId="1138" priority="1328" operator="equal">
      <formula>"Bajo"</formula>
    </cfRule>
  </conditionalFormatting>
  <conditionalFormatting sqref="AB108">
    <cfRule type="cellIs" dxfId="1137" priority="1320" operator="equal">
      <formula>"Muy Alta"</formula>
    </cfRule>
    <cfRule type="cellIs" dxfId="1136" priority="1321" operator="equal">
      <formula>"Alta"</formula>
    </cfRule>
    <cfRule type="cellIs" dxfId="1135" priority="1322" operator="equal">
      <formula>"Media"</formula>
    </cfRule>
    <cfRule type="cellIs" dxfId="1134" priority="1323" operator="equal">
      <formula>"Baja"</formula>
    </cfRule>
    <cfRule type="cellIs" dxfId="1133" priority="1324" operator="equal">
      <formula>"Muy Baja"</formula>
    </cfRule>
  </conditionalFormatting>
  <conditionalFormatting sqref="AD108">
    <cfRule type="cellIs" dxfId="1132" priority="1315" operator="equal">
      <formula>"Catastrófico"</formula>
    </cfRule>
    <cfRule type="cellIs" dxfId="1131" priority="1316" operator="equal">
      <formula>"Mayor"</formula>
    </cfRule>
    <cfRule type="cellIs" dxfId="1130" priority="1317" operator="equal">
      <formula>"Moderado"</formula>
    </cfRule>
    <cfRule type="cellIs" dxfId="1129" priority="1318" operator="equal">
      <formula>"Menor"</formula>
    </cfRule>
    <cfRule type="cellIs" dxfId="1128" priority="1319" operator="equal">
      <formula>"Leve"</formula>
    </cfRule>
  </conditionalFormatting>
  <conditionalFormatting sqref="AF108">
    <cfRule type="cellIs" dxfId="1127" priority="1311" operator="equal">
      <formula>"Extremo"</formula>
    </cfRule>
    <cfRule type="cellIs" dxfId="1126" priority="1312" operator="equal">
      <formula>"Alto"</formula>
    </cfRule>
    <cfRule type="cellIs" dxfId="1125" priority="1313" operator="equal">
      <formula>"Moderado"</formula>
    </cfRule>
    <cfRule type="cellIs" dxfId="1124" priority="1314" operator="equal">
      <formula>"Bajo"</formula>
    </cfRule>
  </conditionalFormatting>
  <conditionalFormatting sqref="K106">
    <cfRule type="cellIs" dxfId="1123" priority="1306" operator="equal">
      <formula>"Muy Alta"</formula>
    </cfRule>
    <cfRule type="cellIs" dxfId="1122" priority="1307" operator="equal">
      <formula>"Alta"</formula>
    </cfRule>
    <cfRule type="cellIs" dxfId="1121" priority="1308" operator="equal">
      <formula>"Media"</formula>
    </cfRule>
    <cfRule type="cellIs" dxfId="1120" priority="1309" operator="equal">
      <formula>"Baja"</formula>
    </cfRule>
    <cfRule type="cellIs" dxfId="1119" priority="1310" operator="equal">
      <formula>"Muy Baja"</formula>
    </cfRule>
  </conditionalFormatting>
  <conditionalFormatting sqref="O106">
    <cfRule type="cellIs" dxfId="1118" priority="1301" operator="equal">
      <formula>"Catastrófico"</formula>
    </cfRule>
    <cfRule type="cellIs" dxfId="1117" priority="1302" operator="equal">
      <formula>"Mayor"</formula>
    </cfRule>
    <cfRule type="cellIs" dxfId="1116" priority="1303" operator="equal">
      <formula>"Moderado"</formula>
    </cfRule>
    <cfRule type="cellIs" dxfId="1115" priority="1304" operator="equal">
      <formula>"Menor"</formula>
    </cfRule>
    <cfRule type="cellIs" dxfId="1114" priority="1305" operator="equal">
      <formula>"Leve"</formula>
    </cfRule>
  </conditionalFormatting>
  <conditionalFormatting sqref="Q106">
    <cfRule type="cellIs" dxfId="1113" priority="1297" operator="equal">
      <formula>"Extremo"</formula>
    </cfRule>
    <cfRule type="cellIs" dxfId="1112" priority="1298" operator="equal">
      <formula>"Alto"</formula>
    </cfRule>
    <cfRule type="cellIs" dxfId="1111" priority="1299" operator="equal">
      <formula>"Moderado"</formula>
    </cfRule>
    <cfRule type="cellIs" dxfId="1110" priority="1300" operator="equal">
      <formula>"Bajo"</formula>
    </cfRule>
  </conditionalFormatting>
  <conditionalFormatting sqref="N106:N108">
    <cfRule type="containsText" dxfId="1109" priority="1296" operator="containsText" text="❌">
      <formula>NOT(ISERROR(SEARCH("❌",N106)))</formula>
    </cfRule>
  </conditionalFormatting>
  <conditionalFormatting sqref="AB109">
    <cfRule type="cellIs" dxfId="1108" priority="1291" operator="equal">
      <formula>"Muy Alta"</formula>
    </cfRule>
    <cfRule type="cellIs" dxfId="1107" priority="1292" operator="equal">
      <formula>"Alta"</formula>
    </cfRule>
    <cfRule type="cellIs" dxfId="1106" priority="1293" operator="equal">
      <formula>"Media"</formula>
    </cfRule>
    <cfRule type="cellIs" dxfId="1105" priority="1294" operator="equal">
      <formula>"Baja"</formula>
    </cfRule>
    <cfRule type="cellIs" dxfId="1104" priority="1295" operator="equal">
      <formula>"Muy Baja"</formula>
    </cfRule>
  </conditionalFormatting>
  <conditionalFormatting sqref="AD109">
    <cfRule type="cellIs" dxfId="1103" priority="1286" operator="equal">
      <formula>"Catastrófico"</formula>
    </cfRule>
    <cfRule type="cellIs" dxfId="1102" priority="1287" operator="equal">
      <formula>"Mayor"</formula>
    </cfRule>
    <cfRule type="cellIs" dxfId="1101" priority="1288" operator="equal">
      <formula>"Moderado"</formula>
    </cfRule>
    <cfRule type="cellIs" dxfId="1100" priority="1289" operator="equal">
      <formula>"Menor"</formula>
    </cfRule>
    <cfRule type="cellIs" dxfId="1099" priority="1290" operator="equal">
      <formula>"Leve"</formula>
    </cfRule>
  </conditionalFormatting>
  <conditionalFormatting sqref="AF109">
    <cfRule type="cellIs" dxfId="1098" priority="1282" operator="equal">
      <formula>"Extremo"</formula>
    </cfRule>
    <cfRule type="cellIs" dxfId="1097" priority="1283" operator="equal">
      <formula>"Alto"</formula>
    </cfRule>
    <cfRule type="cellIs" dxfId="1096" priority="1284" operator="equal">
      <formula>"Moderado"</formula>
    </cfRule>
    <cfRule type="cellIs" dxfId="1095" priority="1285" operator="equal">
      <formula>"Bajo"</formula>
    </cfRule>
  </conditionalFormatting>
  <conditionalFormatting sqref="AB110">
    <cfRule type="cellIs" dxfId="1094" priority="1277" operator="equal">
      <formula>"Muy Alta"</formula>
    </cfRule>
    <cfRule type="cellIs" dxfId="1093" priority="1278" operator="equal">
      <formula>"Alta"</formula>
    </cfRule>
    <cfRule type="cellIs" dxfId="1092" priority="1279" operator="equal">
      <formula>"Media"</formula>
    </cfRule>
    <cfRule type="cellIs" dxfId="1091" priority="1280" operator="equal">
      <formula>"Baja"</formula>
    </cfRule>
    <cfRule type="cellIs" dxfId="1090" priority="1281" operator="equal">
      <formula>"Muy Baja"</formula>
    </cfRule>
  </conditionalFormatting>
  <conditionalFormatting sqref="AD110">
    <cfRule type="cellIs" dxfId="1089" priority="1272" operator="equal">
      <formula>"Catastrófico"</formula>
    </cfRule>
    <cfRule type="cellIs" dxfId="1088" priority="1273" operator="equal">
      <formula>"Mayor"</formula>
    </cfRule>
    <cfRule type="cellIs" dxfId="1087" priority="1274" operator="equal">
      <formula>"Moderado"</formula>
    </cfRule>
    <cfRule type="cellIs" dxfId="1086" priority="1275" operator="equal">
      <formula>"Menor"</formula>
    </cfRule>
    <cfRule type="cellIs" dxfId="1085" priority="1276" operator="equal">
      <formula>"Leve"</formula>
    </cfRule>
  </conditionalFormatting>
  <conditionalFormatting sqref="AF110">
    <cfRule type="cellIs" dxfId="1084" priority="1268" operator="equal">
      <formula>"Extremo"</formula>
    </cfRule>
    <cfRule type="cellIs" dxfId="1083" priority="1269" operator="equal">
      <formula>"Alto"</formula>
    </cfRule>
    <cfRule type="cellIs" dxfId="1082" priority="1270" operator="equal">
      <formula>"Moderado"</formula>
    </cfRule>
    <cfRule type="cellIs" dxfId="1081" priority="1271" operator="equal">
      <formula>"Bajo"</formula>
    </cfRule>
  </conditionalFormatting>
  <conditionalFormatting sqref="AB111">
    <cfRule type="cellIs" dxfId="1080" priority="1263" operator="equal">
      <formula>"Muy Alta"</formula>
    </cfRule>
    <cfRule type="cellIs" dxfId="1079" priority="1264" operator="equal">
      <formula>"Alta"</formula>
    </cfRule>
    <cfRule type="cellIs" dxfId="1078" priority="1265" operator="equal">
      <formula>"Media"</formula>
    </cfRule>
    <cfRule type="cellIs" dxfId="1077" priority="1266" operator="equal">
      <formula>"Baja"</formula>
    </cfRule>
    <cfRule type="cellIs" dxfId="1076" priority="1267" operator="equal">
      <formula>"Muy Baja"</formula>
    </cfRule>
  </conditionalFormatting>
  <conditionalFormatting sqref="AD111">
    <cfRule type="cellIs" dxfId="1075" priority="1258" operator="equal">
      <formula>"Catastrófico"</formula>
    </cfRule>
    <cfRule type="cellIs" dxfId="1074" priority="1259" operator="equal">
      <formula>"Mayor"</formula>
    </cfRule>
    <cfRule type="cellIs" dxfId="1073" priority="1260" operator="equal">
      <formula>"Moderado"</formula>
    </cfRule>
    <cfRule type="cellIs" dxfId="1072" priority="1261" operator="equal">
      <formula>"Menor"</formula>
    </cfRule>
    <cfRule type="cellIs" dxfId="1071" priority="1262" operator="equal">
      <formula>"Leve"</formula>
    </cfRule>
  </conditionalFormatting>
  <conditionalFormatting sqref="AF111">
    <cfRule type="cellIs" dxfId="1070" priority="1254" operator="equal">
      <formula>"Extremo"</formula>
    </cfRule>
    <cfRule type="cellIs" dxfId="1069" priority="1255" operator="equal">
      <formula>"Alto"</formula>
    </cfRule>
    <cfRule type="cellIs" dxfId="1068" priority="1256" operator="equal">
      <formula>"Moderado"</formula>
    </cfRule>
    <cfRule type="cellIs" dxfId="1067" priority="1257" operator="equal">
      <formula>"Bajo"</formula>
    </cfRule>
  </conditionalFormatting>
  <conditionalFormatting sqref="K109">
    <cfRule type="cellIs" dxfId="1066" priority="1249" operator="equal">
      <formula>"Muy Alta"</formula>
    </cfRule>
    <cfRule type="cellIs" dxfId="1065" priority="1250" operator="equal">
      <formula>"Alta"</formula>
    </cfRule>
    <cfRule type="cellIs" dxfId="1064" priority="1251" operator="equal">
      <formula>"Media"</formula>
    </cfRule>
    <cfRule type="cellIs" dxfId="1063" priority="1252" operator="equal">
      <formula>"Baja"</formula>
    </cfRule>
    <cfRule type="cellIs" dxfId="1062" priority="1253" operator="equal">
      <formula>"Muy Baja"</formula>
    </cfRule>
  </conditionalFormatting>
  <conditionalFormatting sqref="O109">
    <cfRule type="cellIs" dxfId="1061" priority="1244" operator="equal">
      <formula>"Catastrófico"</formula>
    </cfRule>
    <cfRule type="cellIs" dxfId="1060" priority="1245" operator="equal">
      <formula>"Mayor"</formula>
    </cfRule>
    <cfRule type="cellIs" dxfId="1059" priority="1246" operator="equal">
      <formula>"Moderado"</formula>
    </cfRule>
    <cfRule type="cellIs" dxfId="1058" priority="1247" operator="equal">
      <formula>"Menor"</formula>
    </cfRule>
    <cfRule type="cellIs" dxfId="1057" priority="1248" operator="equal">
      <formula>"Leve"</formula>
    </cfRule>
  </conditionalFormatting>
  <conditionalFormatting sqref="Q109">
    <cfRule type="cellIs" dxfId="1056" priority="1240" operator="equal">
      <formula>"Extremo"</formula>
    </cfRule>
    <cfRule type="cellIs" dxfId="1055" priority="1241" operator="equal">
      <formula>"Alto"</formula>
    </cfRule>
    <cfRule type="cellIs" dxfId="1054" priority="1242" operator="equal">
      <formula>"Moderado"</formula>
    </cfRule>
    <cfRule type="cellIs" dxfId="1053" priority="1243" operator="equal">
      <formula>"Bajo"</formula>
    </cfRule>
  </conditionalFormatting>
  <conditionalFormatting sqref="N109:N111">
    <cfRule type="containsText" dxfId="1052" priority="1239" operator="containsText" text="❌">
      <formula>NOT(ISERROR(SEARCH("❌",N109)))</formula>
    </cfRule>
  </conditionalFormatting>
  <conditionalFormatting sqref="AB112">
    <cfRule type="cellIs" dxfId="1051" priority="1234" operator="equal">
      <formula>"Muy Alta"</formula>
    </cfRule>
    <cfRule type="cellIs" dxfId="1050" priority="1235" operator="equal">
      <formula>"Alta"</formula>
    </cfRule>
    <cfRule type="cellIs" dxfId="1049" priority="1236" operator="equal">
      <formula>"Media"</formula>
    </cfRule>
    <cfRule type="cellIs" dxfId="1048" priority="1237" operator="equal">
      <formula>"Baja"</formula>
    </cfRule>
    <cfRule type="cellIs" dxfId="1047" priority="1238" operator="equal">
      <formula>"Muy Baja"</formula>
    </cfRule>
  </conditionalFormatting>
  <conditionalFormatting sqref="AD112">
    <cfRule type="cellIs" dxfId="1046" priority="1229" operator="equal">
      <formula>"Catastrófico"</formula>
    </cfRule>
    <cfRule type="cellIs" dxfId="1045" priority="1230" operator="equal">
      <formula>"Mayor"</formula>
    </cfRule>
    <cfRule type="cellIs" dxfId="1044" priority="1231" operator="equal">
      <formula>"Moderado"</formula>
    </cfRule>
    <cfRule type="cellIs" dxfId="1043" priority="1232" operator="equal">
      <formula>"Menor"</formula>
    </cfRule>
    <cfRule type="cellIs" dxfId="1042" priority="1233" operator="equal">
      <formula>"Leve"</formula>
    </cfRule>
  </conditionalFormatting>
  <conditionalFormatting sqref="AF112">
    <cfRule type="cellIs" dxfId="1041" priority="1225" operator="equal">
      <formula>"Extremo"</formula>
    </cfRule>
    <cfRule type="cellIs" dxfId="1040" priority="1226" operator="equal">
      <formula>"Alto"</formula>
    </cfRule>
    <cfRule type="cellIs" dxfId="1039" priority="1227" operator="equal">
      <formula>"Moderado"</formula>
    </cfRule>
    <cfRule type="cellIs" dxfId="1038" priority="1228" operator="equal">
      <formula>"Bajo"</formula>
    </cfRule>
  </conditionalFormatting>
  <conditionalFormatting sqref="AB113">
    <cfRule type="cellIs" dxfId="1037" priority="1220" operator="equal">
      <formula>"Muy Alta"</formula>
    </cfRule>
    <cfRule type="cellIs" dxfId="1036" priority="1221" operator="equal">
      <formula>"Alta"</formula>
    </cfRule>
    <cfRule type="cellIs" dxfId="1035" priority="1222" operator="equal">
      <formula>"Media"</formula>
    </cfRule>
    <cfRule type="cellIs" dxfId="1034" priority="1223" operator="equal">
      <formula>"Baja"</formula>
    </cfRule>
    <cfRule type="cellIs" dxfId="1033" priority="1224" operator="equal">
      <formula>"Muy Baja"</formula>
    </cfRule>
  </conditionalFormatting>
  <conditionalFormatting sqref="AD113">
    <cfRule type="cellIs" dxfId="1032" priority="1215" operator="equal">
      <formula>"Catastrófico"</formula>
    </cfRule>
    <cfRule type="cellIs" dxfId="1031" priority="1216" operator="equal">
      <formula>"Mayor"</formula>
    </cfRule>
    <cfRule type="cellIs" dxfId="1030" priority="1217" operator="equal">
      <formula>"Moderado"</formula>
    </cfRule>
    <cfRule type="cellIs" dxfId="1029" priority="1218" operator="equal">
      <formula>"Menor"</formula>
    </cfRule>
    <cfRule type="cellIs" dxfId="1028" priority="1219" operator="equal">
      <formula>"Leve"</formula>
    </cfRule>
  </conditionalFormatting>
  <conditionalFormatting sqref="AF113">
    <cfRule type="cellIs" dxfId="1027" priority="1211" operator="equal">
      <formula>"Extremo"</formula>
    </cfRule>
    <cfRule type="cellIs" dxfId="1026" priority="1212" operator="equal">
      <formula>"Alto"</formula>
    </cfRule>
    <cfRule type="cellIs" dxfId="1025" priority="1213" operator="equal">
      <formula>"Moderado"</formula>
    </cfRule>
    <cfRule type="cellIs" dxfId="1024" priority="1214" operator="equal">
      <formula>"Bajo"</formula>
    </cfRule>
  </conditionalFormatting>
  <conditionalFormatting sqref="AB114">
    <cfRule type="cellIs" dxfId="1023" priority="1206" operator="equal">
      <formula>"Muy Alta"</formula>
    </cfRule>
    <cfRule type="cellIs" dxfId="1022" priority="1207" operator="equal">
      <formula>"Alta"</formula>
    </cfRule>
    <cfRule type="cellIs" dxfId="1021" priority="1208" operator="equal">
      <formula>"Media"</formula>
    </cfRule>
    <cfRule type="cellIs" dxfId="1020" priority="1209" operator="equal">
      <formula>"Baja"</formula>
    </cfRule>
    <cfRule type="cellIs" dxfId="1019" priority="1210" operator="equal">
      <formula>"Muy Baja"</formula>
    </cfRule>
  </conditionalFormatting>
  <conditionalFormatting sqref="AD114">
    <cfRule type="cellIs" dxfId="1018" priority="1201" operator="equal">
      <formula>"Catastrófico"</formula>
    </cfRule>
    <cfRule type="cellIs" dxfId="1017" priority="1202" operator="equal">
      <formula>"Mayor"</formula>
    </cfRule>
    <cfRule type="cellIs" dxfId="1016" priority="1203" operator="equal">
      <formula>"Moderado"</formula>
    </cfRule>
    <cfRule type="cellIs" dxfId="1015" priority="1204" operator="equal">
      <formula>"Menor"</formula>
    </cfRule>
    <cfRule type="cellIs" dxfId="1014" priority="1205" operator="equal">
      <formula>"Leve"</formula>
    </cfRule>
  </conditionalFormatting>
  <conditionalFormatting sqref="AF114">
    <cfRule type="cellIs" dxfId="1013" priority="1197" operator="equal">
      <formula>"Extremo"</formula>
    </cfRule>
    <cfRule type="cellIs" dxfId="1012" priority="1198" operator="equal">
      <formula>"Alto"</formula>
    </cfRule>
    <cfRule type="cellIs" dxfId="1011" priority="1199" operator="equal">
      <formula>"Moderado"</formula>
    </cfRule>
    <cfRule type="cellIs" dxfId="1010" priority="1200" operator="equal">
      <formula>"Bajo"</formula>
    </cfRule>
  </conditionalFormatting>
  <conditionalFormatting sqref="K112">
    <cfRule type="cellIs" dxfId="1009" priority="1192" operator="equal">
      <formula>"Muy Alta"</formula>
    </cfRule>
    <cfRule type="cellIs" dxfId="1008" priority="1193" operator="equal">
      <formula>"Alta"</formula>
    </cfRule>
    <cfRule type="cellIs" dxfId="1007" priority="1194" operator="equal">
      <formula>"Media"</formula>
    </cfRule>
    <cfRule type="cellIs" dxfId="1006" priority="1195" operator="equal">
      <formula>"Baja"</formula>
    </cfRule>
    <cfRule type="cellIs" dxfId="1005" priority="1196" operator="equal">
      <formula>"Muy Baja"</formula>
    </cfRule>
  </conditionalFormatting>
  <conditionalFormatting sqref="O112">
    <cfRule type="cellIs" dxfId="1004" priority="1187" operator="equal">
      <formula>"Catastrófico"</formula>
    </cfRule>
    <cfRule type="cellIs" dxfId="1003" priority="1188" operator="equal">
      <formula>"Mayor"</formula>
    </cfRule>
    <cfRule type="cellIs" dxfId="1002" priority="1189" operator="equal">
      <formula>"Moderado"</formula>
    </cfRule>
    <cfRule type="cellIs" dxfId="1001" priority="1190" operator="equal">
      <formula>"Menor"</formula>
    </cfRule>
    <cfRule type="cellIs" dxfId="1000" priority="1191" operator="equal">
      <formula>"Leve"</formula>
    </cfRule>
  </conditionalFormatting>
  <conditionalFormatting sqref="Q112">
    <cfRule type="cellIs" dxfId="999" priority="1183" operator="equal">
      <formula>"Extremo"</formula>
    </cfRule>
    <cfRule type="cellIs" dxfId="998" priority="1184" operator="equal">
      <formula>"Alto"</formula>
    </cfRule>
    <cfRule type="cellIs" dxfId="997" priority="1185" operator="equal">
      <formula>"Moderado"</formula>
    </cfRule>
    <cfRule type="cellIs" dxfId="996" priority="1186" operator="equal">
      <formula>"Bajo"</formula>
    </cfRule>
  </conditionalFormatting>
  <conditionalFormatting sqref="N112:N114">
    <cfRule type="containsText" dxfId="995" priority="1182" operator="containsText" text="❌">
      <formula>NOT(ISERROR(SEARCH("❌",N112)))</formula>
    </cfRule>
  </conditionalFormatting>
  <conditionalFormatting sqref="AB115">
    <cfRule type="cellIs" dxfId="994" priority="1177" operator="equal">
      <formula>"Muy Alta"</formula>
    </cfRule>
    <cfRule type="cellIs" dxfId="993" priority="1178" operator="equal">
      <formula>"Alta"</formula>
    </cfRule>
    <cfRule type="cellIs" dxfId="992" priority="1179" operator="equal">
      <formula>"Media"</formula>
    </cfRule>
    <cfRule type="cellIs" dxfId="991" priority="1180" operator="equal">
      <formula>"Baja"</formula>
    </cfRule>
    <cfRule type="cellIs" dxfId="990" priority="1181" operator="equal">
      <formula>"Muy Baja"</formula>
    </cfRule>
  </conditionalFormatting>
  <conditionalFormatting sqref="AD115">
    <cfRule type="cellIs" dxfId="989" priority="1172" operator="equal">
      <formula>"Catastrófico"</formula>
    </cfRule>
    <cfRule type="cellIs" dxfId="988" priority="1173" operator="equal">
      <formula>"Mayor"</formula>
    </cfRule>
    <cfRule type="cellIs" dxfId="987" priority="1174" operator="equal">
      <formula>"Moderado"</formula>
    </cfRule>
    <cfRule type="cellIs" dxfId="986" priority="1175" operator="equal">
      <formula>"Menor"</formula>
    </cfRule>
    <cfRule type="cellIs" dxfId="985" priority="1176" operator="equal">
      <formula>"Leve"</formula>
    </cfRule>
  </conditionalFormatting>
  <conditionalFormatting sqref="AF115">
    <cfRule type="cellIs" dxfId="984" priority="1168" operator="equal">
      <formula>"Extremo"</formula>
    </cfRule>
    <cfRule type="cellIs" dxfId="983" priority="1169" operator="equal">
      <formula>"Alto"</formula>
    </cfRule>
    <cfRule type="cellIs" dxfId="982" priority="1170" operator="equal">
      <formula>"Moderado"</formula>
    </cfRule>
    <cfRule type="cellIs" dxfId="981" priority="1171" operator="equal">
      <formula>"Bajo"</formula>
    </cfRule>
  </conditionalFormatting>
  <conditionalFormatting sqref="AB116">
    <cfRule type="cellIs" dxfId="980" priority="1163" operator="equal">
      <formula>"Muy Alta"</formula>
    </cfRule>
    <cfRule type="cellIs" dxfId="979" priority="1164" operator="equal">
      <formula>"Alta"</formula>
    </cfRule>
    <cfRule type="cellIs" dxfId="978" priority="1165" operator="equal">
      <formula>"Media"</formula>
    </cfRule>
    <cfRule type="cellIs" dxfId="977" priority="1166" operator="equal">
      <formula>"Baja"</formula>
    </cfRule>
    <cfRule type="cellIs" dxfId="976" priority="1167" operator="equal">
      <formula>"Muy Baja"</formula>
    </cfRule>
  </conditionalFormatting>
  <conditionalFormatting sqref="AD116">
    <cfRule type="cellIs" dxfId="975" priority="1158" operator="equal">
      <formula>"Catastrófico"</formula>
    </cfRule>
    <cfRule type="cellIs" dxfId="974" priority="1159" operator="equal">
      <formula>"Mayor"</formula>
    </cfRule>
    <cfRule type="cellIs" dxfId="973" priority="1160" operator="equal">
      <formula>"Moderado"</formula>
    </cfRule>
    <cfRule type="cellIs" dxfId="972" priority="1161" operator="equal">
      <formula>"Menor"</formula>
    </cfRule>
    <cfRule type="cellIs" dxfId="971" priority="1162" operator="equal">
      <formula>"Leve"</formula>
    </cfRule>
  </conditionalFormatting>
  <conditionalFormatting sqref="AF116">
    <cfRule type="cellIs" dxfId="970" priority="1154" operator="equal">
      <formula>"Extremo"</formula>
    </cfRule>
    <cfRule type="cellIs" dxfId="969" priority="1155" operator="equal">
      <formula>"Alto"</formula>
    </cfRule>
    <cfRule type="cellIs" dxfId="968" priority="1156" operator="equal">
      <formula>"Moderado"</formula>
    </cfRule>
    <cfRule type="cellIs" dxfId="967" priority="1157" operator="equal">
      <formula>"Bajo"</formula>
    </cfRule>
  </conditionalFormatting>
  <conditionalFormatting sqref="AB117">
    <cfRule type="cellIs" dxfId="966" priority="1149" operator="equal">
      <formula>"Muy Alta"</formula>
    </cfRule>
    <cfRule type="cellIs" dxfId="965" priority="1150" operator="equal">
      <formula>"Alta"</formula>
    </cfRule>
    <cfRule type="cellIs" dxfId="964" priority="1151" operator="equal">
      <formula>"Media"</formula>
    </cfRule>
    <cfRule type="cellIs" dxfId="963" priority="1152" operator="equal">
      <formula>"Baja"</formula>
    </cfRule>
    <cfRule type="cellIs" dxfId="962" priority="1153" operator="equal">
      <formula>"Muy Baja"</formula>
    </cfRule>
  </conditionalFormatting>
  <conditionalFormatting sqref="AD117">
    <cfRule type="cellIs" dxfId="961" priority="1144" operator="equal">
      <formula>"Catastrófico"</formula>
    </cfRule>
    <cfRule type="cellIs" dxfId="960" priority="1145" operator="equal">
      <formula>"Mayor"</formula>
    </cfRule>
    <cfRule type="cellIs" dxfId="959" priority="1146" operator="equal">
      <formula>"Moderado"</formula>
    </cfRule>
    <cfRule type="cellIs" dxfId="958" priority="1147" operator="equal">
      <formula>"Menor"</formula>
    </cfRule>
    <cfRule type="cellIs" dxfId="957" priority="1148" operator="equal">
      <formula>"Leve"</formula>
    </cfRule>
  </conditionalFormatting>
  <conditionalFormatting sqref="AF117">
    <cfRule type="cellIs" dxfId="956" priority="1140" operator="equal">
      <formula>"Extremo"</formula>
    </cfRule>
    <cfRule type="cellIs" dxfId="955" priority="1141" operator="equal">
      <formula>"Alto"</formula>
    </cfRule>
    <cfRule type="cellIs" dxfId="954" priority="1142" operator="equal">
      <formula>"Moderado"</formula>
    </cfRule>
    <cfRule type="cellIs" dxfId="953" priority="1143" operator="equal">
      <formula>"Bajo"</formula>
    </cfRule>
  </conditionalFormatting>
  <conditionalFormatting sqref="K115">
    <cfRule type="cellIs" dxfId="952" priority="1135" operator="equal">
      <formula>"Muy Alta"</formula>
    </cfRule>
    <cfRule type="cellIs" dxfId="951" priority="1136" operator="equal">
      <formula>"Alta"</formula>
    </cfRule>
    <cfRule type="cellIs" dxfId="950" priority="1137" operator="equal">
      <formula>"Media"</formula>
    </cfRule>
    <cfRule type="cellIs" dxfId="949" priority="1138" operator="equal">
      <formula>"Baja"</formula>
    </cfRule>
    <cfRule type="cellIs" dxfId="948" priority="1139" operator="equal">
      <formula>"Muy Baja"</formula>
    </cfRule>
  </conditionalFormatting>
  <conditionalFormatting sqref="O115">
    <cfRule type="cellIs" dxfId="947" priority="1130" operator="equal">
      <formula>"Catastrófico"</formula>
    </cfRule>
    <cfRule type="cellIs" dxfId="946" priority="1131" operator="equal">
      <formula>"Mayor"</formula>
    </cfRule>
    <cfRule type="cellIs" dxfId="945" priority="1132" operator="equal">
      <formula>"Moderado"</formula>
    </cfRule>
    <cfRule type="cellIs" dxfId="944" priority="1133" operator="equal">
      <formula>"Menor"</formula>
    </cfRule>
    <cfRule type="cellIs" dxfId="943" priority="1134" operator="equal">
      <formula>"Leve"</formula>
    </cfRule>
  </conditionalFormatting>
  <conditionalFormatting sqref="Q115">
    <cfRule type="cellIs" dxfId="942" priority="1126" operator="equal">
      <formula>"Extremo"</formula>
    </cfRule>
    <cfRule type="cellIs" dxfId="941" priority="1127" operator="equal">
      <formula>"Alto"</formula>
    </cfRule>
    <cfRule type="cellIs" dxfId="940" priority="1128" operator="equal">
      <formula>"Moderado"</formula>
    </cfRule>
    <cfRule type="cellIs" dxfId="939" priority="1129" operator="equal">
      <formula>"Bajo"</formula>
    </cfRule>
  </conditionalFormatting>
  <conditionalFormatting sqref="N115:N117">
    <cfRule type="containsText" dxfId="938" priority="1125" operator="containsText" text="❌">
      <formula>NOT(ISERROR(SEARCH("❌",N115)))</formula>
    </cfRule>
  </conditionalFormatting>
  <conditionalFormatting sqref="AB118">
    <cfRule type="cellIs" dxfId="937" priority="1120" operator="equal">
      <formula>"Muy Alta"</formula>
    </cfRule>
    <cfRule type="cellIs" dxfId="936" priority="1121" operator="equal">
      <formula>"Alta"</formula>
    </cfRule>
    <cfRule type="cellIs" dxfId="935" priority="1122" operator="equal">
      <formula>"Media"</formula>
    </cfRule>
    <cfRule type="cellIs" dxfId="934" priority="1123" operator="equal">
      <formula>"Baja"</formula>
    </cfRule>
    <cfRule type="cellIs" dxfId="933" priority="1124" operator="equal">
      <formula>"Muy Baja"</formula>
    </cfRule>
  </conditionalFormatting>
  <conditionalFormatting sqref="AD118">
    <cfRule type="cellIs" dxfId="932" priority="1115" operator="equal">
      <formula>"Catastrófico"</formula>
    </cfRule>
    <cfRule type="cellIs" dxfId="931" priority="1116" operator="equal">
      <formula>"Mayor"</formula>
    </cfRule>
    <cfRule type="cellIs" dxfId="930" priority="1117" operator="equal">
      <formula>"Moderado"</formula>
    </cfRule>
    <cfRule type="cellIs" dxfId="929" priority="1118" operator="equal">
      <formula>"Menor"</formula>
    </cfRule>
    <cfRule type="cellIs" dxfId="928" priority="1119" operator="equal">
      <formula>"Leve"</formula>
    </cfRule>
  </conditionalFormatting>
  <conditionalFormatting sqref="AF118">
    <cfRule type="cellIs" dxfId="927" priority="1111" operator="equal">
      <formula>"Extremo"</formula>
    </cfRule>
    <cfRule type="cellIs" dxfId="926" priority="1112" operator="equal">
      <formula>"Alto"</formula>
    </cfRule>
    <cfRule type="cellIs" dxfId="925" priority="1113" operator="equal">
      <formula>"Moderado"</formula>
    </cfRule>
    <cfRule type="cellIs" dxfId="924" priority="1114" operator="equal">
      <formula>"Bajo"</formula>
    </cfRule>
  </conditionalFormatting>
  <conditionalFormatting sqref="AB119">
    <cfRule type="cellIs" dxfId="923" priority="1106" operator="equal">
      <formula>"Muy Alta"</formula>
    </cfRule>
    <cfRule type="cellIs" dxfId="922" priority="1107" operator="equal">
      <formula>"Alta"</formula>
    </cfRule>
    <cfRule type="cellIs" dxfId="921" priority="1108" operator="equal">
      <formula>"Media"</formula>
    </cfRule>
    <cfRule type="cellIs" dxfId="920" priority="1109" operator="equal">
      <formula>"Baja"</formula>
    </cfRule>
    <cfRule type="cellIs" dxfId="919" priority="1110" operator="equal">
      <formula>"Muy Baja"</formula>
    </cfRule>
  </conditionalFormatting>
  <conditionalFormatting sqref="AD119">
    <cfRule type="cellIs" dxfId="918" priority="1101" operator="equal">
      <formula>"Catastrófico"</formula>
    </cfRule>
    <cfRule type="cellIs" dxfId="917" priority="1102" operator="equal">
      <formula>"Mayor"</formula>
    </cfRule>
    <cfRule type="cellIs" dxfId="916" priority="1103" operator="equal">
      <formula>"Moderado"</formula>
    </cfRule>
    <cfRule type="cellIs" dxfId="915" priority="1104" operator="equal">
      <formula>"Menor"</formula>
    </cfRule>
    <cfRule type="cellIs" dxfId="914" priority="1105" operator="equal">
      <formula>"Leve"</formula>
    </cfRule>
  </conditionalFormatting>
  <conditionalFormatting sqref="AF119">
    <cfRule type="cellIs" dxfId="913" priority="1097" operator="equal">
      <formula>"Extremo"</formula>
    </cfRule>
    <cfRule type="cellIs" dxfId="912" priority="1098" operator="equal">
      <formula>"Alto"</formula>
    </cfRule>
    <cfRule type="cellIs" dxfId="911" priority="1099" operator="equal">
      <formula>"Moderado"</formula>
    </cfRule>
    <cfRule type="cellIs" dxfId="910" priority="1100" operator="equal">
      <formula>"Bajo"</formula>
    </cfRule>
  </conditionalFormatting>
  <conditionalFormatting sqref="AB120:AB123">
    <cfRule type="cellIs" dxfId="909" priority="1092" operator="equal">
      <formula>"Muy Alta"</formula>
    </cfRule>
    <cfRule type="cellIs" dxfId="908" priority="1093" operator="equal">
      <formula>"Alta"</formula>
    </cfRule>
    <cfRule type="cellIs" dxfId="907" priority="1094" operator="equal">
      <formula>"Media"</formula>
    </cfRule>
    <cfRule type="cellIs" dxfId="906" priority="1095" operator="equal">
      <formula>"Baja"</formula>
    </cfRule>
    <cfRule type="cellIs" dxfId="905" priority="1096" operator="equal">
      <formula>"Muy Baja"</formula>
    </cfRule>
  </conditionalFormatting>
  <conditionalFormatting sqref="AD120:AD123">
    <cfRule type="cellIs" dxfId="904" priority="1087" operator="equal">
      <formula>"Catastrófico"</formula>
    </cfRule>
    <cfRule type="cellIs" dxfId="903" priority="1088" operator="equal">
      <formula>"Mayor"</formula>
    </cfRule>
    <cfRule type="cellIs" dxfId="902" priority="1089" operator="equal">
      <formula>"Moderado"</formula>
    </cfRule>
    <cfRule type="cellIs" dxfId="901" priority="1090" operator="equal">
      <formula>"Menor"</formula>
    </cfRule>
    <cfRule type="cellIs" dxfId="900" priority="1091" operator="equal">
      <formula>"Leve"</formula>
    </cfRule>
  </conditionalFormatting>
  <conditionalFormatting sqref="AF120:AF123">
    <cfRule type="cellIs" dxfId="899" priority="1083" operator="equal">
      <formula>"Extremo"</formula>
    </cfRule>
    <cfRule type="cellIs" dxfId="898" priority="1084" operator="equal">
      <formula>"Alto"</formula>
    </cfRule>
    <cfRule type="cellIs" dxfId="897" priority="1085" operator="equal">
      <formula>"Moderado"</formula>
    </cfRule>
    <cfRule type="cellIs" dxfId="896" priority="1086" operator="equal">
      <formula>"Bajo"</formula>
    </cfRule>
  </conditionalFormatting>
  <conditionalFormatting sqref="K118">
    <cfRule type="cellIs" dxfId="895" priority="1078" operator="equal">
      <formula>"Muy Alta"</formula>
    </cfRule>
    <cfRule type="cellIs" dxfId="894" priority="1079" operator="equal">
      <formula>"Alta"</formula>
    </cfRule>
    <cfRule type="cellIs" dxfId="893" priority="1080" operator="equal">
      <formula>"Media"</formula>
    </cfRule>
    <cfRule type="cellIs" dxfId="892" priority="1081" operator="equal">
      <formula>"Baja"</formula>
    </cfRule>
    <cfRule type="cellIs" dxfId="891" priority="1082" operator="equal">
      <formula>"Muy Baja"</formula>
    </cfRule>
  </conditionalFormatting>
  <conditionalFormatting sqref="O118">
    <cfRule type="cellIs" dxfId="890" priority="1073" operator="equal">
      <formula>"Catastrófico"</formula>
    </cfRule>
    <cfRule type="cellIs" dxfId="889" priority="1074" operator="equal">
      <formula>"Mayor"</formula>
    </cfRule>
    <cfRule type="cellIs" dxfId="888" priority="1075" operator="equal">
      <formula>"Moderado"</formula>
    </cfRule>
    <cfRule type="cellIs" dxfId="887" priority="1076" operator="equal">
      <formula>"Menor"</formula>
    </cfRule>
    <cfRule type="cellIs" dxfId="886" priority="1077" operator="equal">
      <formula>"Leve"</formula>
    </cfRule>
  </conditionalFormatting>
  <conditionalFormatting sqref="Q118">
    <cfRule type="cellIs" dxfId="885" priority="1069" operator="equal">
      <formula>"Extremo"</formula>
    </cfRule>
    <cfRule type="cellIs" dxfId="884" priority="1070" operator="equal">
      <formula>"Alto"</formula>
    </cfRule>
    <cfRule type="cellIs" dxfId="883" priority="1071" operator="equal">
      <formula>"Moderado"</formula>
    </cfRule>
    <cfRule type="cellIs" dxfId="882" priority="1072" operator="equal">
      <formula>"Bajo"</formula>
    </cfRule>
  </conditionalFormatting>
  <conditionalFormatting sqref="N118:N123">
    <cfRule type="containsText" dxfId="881" priority="1068" operator="containsText" text="❌">
      <formula>NOT(ISERROR(SEARCH("❌",N118)))</formula>
    </cfRule>
  </conditionalFormatting>
  <conditionalFormatting sqref="AB124">
    <cfRule type="cellIs" dxfId="880" priority="1063" operator="equal">
      <formula>"Muy Alta"</formula>
    </cfRule>
    <cfRule type="cellIs" dxfId="879" priority="1064" operator="equal">
      <formula>"Alta"</formula>
    </cfRule>
    <cfRule type="cellIs" dxfId="878" priority="1065" operator="equal">
      <formula>"Media"</formula>
    </cfRule>
    <cfRule type="cellIs" dxfId="877" priority="1066" operator="equal">
      <formula>"Baja"</formula>
    </cfRule>
    <cfRule type="cellIs" dxfId="876" priority="1067" operator="equal">
      <formula>"Muy Baja"</formula>
    </cfRule>
  </conditionalFormatting>
  <conditionalFormatting sqref="AD124">
    <cfRule type="cellIs" dxfId="875" priority="1058" operator="equal">
      <formula>"Catastrófico"</formula>
    </cfRule>
    <cfRule type="cellIs" dxfId="874" priority="1059" operator="equal">
      <formula>"Mayor"</formula>
    </cfRule>
    <cfRule type="cellIs" dxfId="873" priority="1060" operator="equal">
      <formula>"Moderado"</formula>
    </cfRule>
    <cfRule type="cellIs" dxfId="872" priority="1061" operator="equal">
      <formula>"Menor"</formula>
    </cfRule>
    <cfRule type="cellIs" dxfId="871" priority="1062" operator="equal">
      <formula>"Leve"</formula>
    </cfRule>
  </conditionalFormatting>
  <conditionalFormatting sqref="AF124">
    <cfRule type="cellIs" dxfId="870" priority="1054" operator="equal">
      <formula>"Extremo"</formula>
    </cfRule>
    <cfRule type="cellIs" dxfId="869" priority="1055" operator="equal">
      <formula>"Alto"</formula>
    </cfRule>
    <cfRule type="cellIs" dxfId="868" priority="1056" operator="equal">
      <formula>"Moderado"</formula>
    </cfRule>
    <cfRule type="cellIs" dxfId="867" priority="1057" operator="equal">
      <formula>"Bajo"</formula>
    </cfRule>
  </conditionalFormatting>
  <conditionalFormatting sqref="AB125">
    <cfRule type="cellIs" dxfId="866" priority="1049" operator="equal">
      <formula>"Muy Alta"</formula>
    </cfRule>
    <cfRule type="cellIs" dxfId="865" priority="1050" operator="equal">
      <formula>"Alta"</formula>
    </cfRule>
    <cfRule type="cellIs" dxfId="864" priority="1051" operator="equal">
      <formula>"Media"</formula>
    </cfRule>
    <cfRule type="cellIs" dxfId="863" priority="1052" operator="equal">
      <formula>"Baja"</formula>
    </cfRule>
    <cfRule type="cellIs" dxfId="862" priority="1053" operator="equal">
      <formula>"Muy Baja"</formula>
    </cfRule>
  </conditionalFormatting>
  <conditionalFormatting sqref="AD125">
    <cfRule type="cellIs" dxfId="861" priority="1044" operator="equal">
      <formula>"Catastrófico"</formula>
    </cfRule>
    <cfRule type="cellIs" dxfId="860" priority="1045" operator="equal">
      <formula>"Mayor"</formula>
    </cfRule>
    <cfRule type="cellIs" dxfId="859" priority="1046" operator="equal">
      <formula>"Moderado"</formula>
    </cfRule>
    <cfRule type="cellIs" dxfId="858" priority="1047" operator="equal">
      <formula>"Menor"</formula>
    </cfRule>
    <cfRule type="cellIs" dxfId="857" priority="1048" operator="equal">
      <formula>"Leve"</formula>
    </cfRule>
  </conditionalFormatting>
  <conditionalFormatting sqref="AF125">
    <cfRule type="cellIs" dxfId="856" priority="1040" operator="equal">
      <formula>"Extremo"</formula>
    </cfRule>
    <cfRule type="cellIs" dxfId="855" priority="1041" operator="equal">
      <formula>"Alto"</formula>
    </cfRule>
    <cfRule type="cellIs" dxfId="854" priority="1042" operator="equal">
      <formula>"Moderado"</formula>
    </cfRule>
    <cfRule type="cellIs" dxfId="853" priority="1043" operator="equal">
      <formula>"Bajo"</formula>
    </cfRule>
  </conditionalFormatting>
  <conditionalFormatting sqref="AB126">
    <cfRule type="cellIs" dxfId="852" priority="1035" operator="equal">
      <formula>"Muy Alta"</formula>
    </cfRule>
    <cfRule type="cellIs" dxfId="851" priority="1036" operator="equal">
      <formula>"Alta"</formula>
    </cfRule>
    <cfRule type="cellIs" dxfId="850" priority="1037" operator="equal">
      <formula>"Media"</formula>
    </cfRule>
    <cfRule type="cellIs" dxfId="849" priority="1038" operator="equal">
      <formula>"Baja"</formula>
    </cfRule>
    <cfRule type="cellIs" dxfId="848" priority="1039" operator="equal">
      <formula>"Muy Baja"</formula>
    </cfRule>
  </conditionalFormatting>
  <conditionalFormatting sqref="AD126">
    <cfRule type="cellIs" dxfId="847" priority="1030" operator="equal">
      <formula>"Catastrófico"</formula>
    </cfRule>
    <cfRule type="cellIs" dxfId="846" priority="1031" operator="equal">
      <formula>"Mayor"</formula>
    </cfRule>
    <cfRule type="cellIs" dxfId="845" priority="1032" operator="equal">
      <formula>"Moderado"</formula>
    </cfRule>
    <cfRule type="cellIs" dxfId="844" priority="1033" operator="equal">
      <formula>"Menor"</formula>
    </cfRule>
    <cfRule type="cellIs" dxfId="843" priority="1034" operator="equal">
      <formula>"Leve"</formula>
    </cfRule>
  </conditionalFormatting>
  <conditionalFormatting sqref="AF126">
    <cfRule type="cellIs" dxfId="842" priority="1026" operator="equal">
      <formula>"Extremo"</formula>
    </cfRule>
    <cfRule type="cellIs" dxfId="841" priority="1027" operator="equal">
      <formula>"Alto"</formula>
    </cfRule>
    <cfRule type="cellIs" dxfId="840" priority="1028" operator="equal">
      <formula>"Moderado"</formula>
    </cfRule>
    <cfRule type="cellIs" dxfId="839" priority="1029" operator="equal">
      <formula>"Bajo"</formula>
    </cfRule>
  </conditionalFormatting>
  <conditionalFormatting sqref="K124">
    <cfRule type="cellIs" dxfId="838" priority="1021" operator="equal">
      <formula>"Muy Alta"</formula>
    </cfRule>
    <cfRule type="cellIs" dxfId="837" priority="1022" operator="equal">
      <formula>"Alta"</formula>
    </cfRule>
    <cfRule type="cellIs" dxfId="836" priority="1023" operator="equal">
      <formula>"Media"</formula>
    </cfRule>
    <cfRule type="cellIs" dxfId="835" priority="1024" operator="equal">
      <formula>"Baja"</formula>
    </cfRule>
    <cfRule type="cellIs" dxfId="834" priority="1025" operator="equal">
      <formula>"Muy Baja"</formula>
    </cfRule>
  </conditionalFormatting>
  <conditionalFormatting sqref="O124">
    <cfRule type="cellIs" dxfId="833" priority="1016" operator="equal">
      <formula>"Catastrófico"</formula>
    </cfRule>
    <cfRule type="cellIs" dxfId="832" priority="1017" operator="equal">
      <formula>"Mayor"</formula>
    </cfRule>
    <cfRule type="cellIs" dxfId="831" priority="1018" operator="equal">
      <formula>"Moderado"</formula>
    </cfRule>
    <cfRule type="cellIs" dxfId="830" priority="1019" operator="equal">
      <formula>"Menor"</formula>
    </cfRule>
    <cfRule type="cellIs" dxfId="829" priority="1020" operator="equal">
      <formula>"Leve"</formula>
    </cfRule>
  </conditionalFormatting>
  <conditionalFormatting sqref="Q124">
    <cfRule type="cellIs" dxfId="828" priority="1012" operator="equal">
      <formula>"Extremo"</formula>
    </cfRule>
    <cfRule type="cellIs" dxfId="827" priority="1013" operator="equal">
      <formula>"Alto"</formula>
    </cfRule>
    <cfRule type="cellIs" dxfId="826" priority="1014" operator="equal">
      <formula>"Moderado"</formula>
    </cfRule>
    <cfRule type="cellIs" dxfId="825" priority="1015" operator="equal">
      <formula>"Bajo"</formula>
    </cfRule>
  </conditionalFormatting>
  <conditionalFormatting sqref="N124:N126">
    <cfRule type="containsText" dxfId="824" priority="1011" operator="containsText" text="❌">
      <formula>NOT(ISERROR(SEARCH("❌",N124)))</formula>
    </cfRule>
  </conditionalFormatting>
  <conditionalFormatting sqref="AB124:AB126">
    <cfRule type="cellIs" dxfId="823" priority="1006" operator="equal">
      <formula>"Muy Alta"</formula>
    </cfRule>
    <cfRule type="cellIs" dxfId="822" priority="1007" operator="equal">
      <formula>"Alta"</formula>
    </cfRule>
    <cfRule type="cellIs" dxfId="821" priority="1008" operator="equal">
      <formula>"Media"</formula>
    </cfRule>
    <cfRule type="cellIs" dxfId="820" priority="1009" operator="equal">
      <formula>"Baja"</formula>
    </cfRule>
    <cfRule type="cellIs" dxfId="819" priority="1010" operator="equal">
      <formula>"Muy Baja"</formula>
    </cfRule>
  </conditionalFormatting>
  <conditionalFormatting sqref="AD124:AD126">
    <cfRule type="cellIs" dxfId="818" priority="1001" operator="equal">
      <formula>"Catastrófico"</formula>
    </cfRule>
    <cfRule type="cellIs" dxfId="817" priority="1002" operator="equal">
      <formula>"Mayor"</formula>
    </cfRule>
    <cfRule type="cellIs" dxfId="816" priority="1003" operator="equal">
      <formula>"Moderado"</formula>
    </cfRule>
    <cfRule type="cellIs" dxfId="815" priority="1004" operator="equal">
      <formula>"Menor"</formula>
    </cfRule>
    <cfRule type="cellIs" dxfId="814" priority="1005" operator="equal">
      <formula>"Leve"</formula>
    </cfRule>
  </conditionalFormatting>
  <conditionalFormatting sqref="AF124:AF126">
    <cfRule type="cellIs" dxfId="813" priority="997" operator="equal">
      <formula>"Extremo"</formula>
    </cfRule>
    <cfRule type="cellIs" dxfId="812" priority="998" operator="equal">
      <formula>"Alto"</formula>
    </cfRule>
    <cfRule type="cellIs" dxfId="811" priority="999" operator="equal">
      <formula>"Moderado"</formula>
    </cfRule>
    <cfRule type="cellIs" dxfId="810" priority="1000" operator="equal">
      <formula>"Bajo"</formula>
    </cfRule>
  </conditionalFormatting>
  <conditionalFormatting sqref="N124:N126">
    <cfRule type="containsText" dxfId="809" priority="996" operator="containsText" text="❌">
      <formula>NOT(ISERROR(SEARCH("❌",N124)))</formula>
    </cfRule>
  </conditionalFormatting>
  <conditionalFormatting sqref="AB127">
    <cfRule type="cellIs" dxfId="808" priority="991" operator="equal">
      <formula>"Muy Alta"</formula>
    </cfRule>
    <cfRule type="cellIs" dxfId="807" priority="992" operator="equal">
      <formula>"Alta"</formula>
    </cfRule>
    <cfRule type="cellIs" dxfId="806" priority="993" operator="equal">
      <formula>"Media"</formula>
    </cfRule>
    <cfRule type="cellIs" dxfId="805" priority="994" operator="equal">
      <formula>"Baja"</formula>
    </cfRule>
    <cfRule type="cellIs" dxfId="804" priority="995" operator="equal">
      <formula>"Muy Baja"</formula>
    </cfRule>
  </conditionalFormatting>
  <conditionalFormatting sqref="AD127">
    <cfRule type="cellIs" dxfId="803" priority="986" operator="equal">
      <formula>"Catastrófico"</formula>
    </cfRule>
    <cfRule type="cellIs" dxfId="802" priority="987" operator="equal">
      <formula>"Mayor"</formula>
    </cfRule>
    <cfRule type="cellIs" dxfId="801" priority="988" operator="equal">
      <formula>"Moderado"</formula>
    </cfRule>
    <cfRule type="cellIs" dxfId="800" priority="989" operator="equal">
      <formula>"Menor"</formula>
    </cfRule>
    <cfRule type="cellIs" dxfId="799" priority="990" operator="equal">
      <formula>"Leve"</formula>
    </cfRule>
  </conditionalFormatting>
  <conditionalFormatting sqref="AF127">
    <cfRule type="cellIs" dxfId="798" priority="982" operator="equal">
      <formula>"Extremo"</formula>
    </cfRule>
    <cfRule type="cellIs" dxfId="797" priority="983" operator="equal">
      <formula>"Alto"</formula>
    </cfRule>
    <cfRule type="cellIs" dxfId="796" priority="984" operator="equal">
      <formula>"Moderado"</formula>
    </cfRule>
    <cfRule type="cellIs" dxfId="795" priority="985" operator="equal">
      <formula>"Bajo"</formula>
    </cfRule>
  </conditionalFormatting>
  <conditionalFormatting sqref="AB128">
    <cfRule type="cellIs" dxfId="794" priority="977" operator="equal">
      <formula>"Muy Alta"</formula>
    </cfRule>
    <cfRule type="cellIs" dxfId="793" priority="978" operator="equal">
      <formula>"Alta"</formula>
    </cfRule>
    <cfRule type="cellIs" dxfId="792" priority="979" operator="equal">
      <formula>"Media"</formula>
    </cfRule>
    <cfRule type="cellIs" dxfId="791" priority="980" operator="equal">
      <formula>"Baja"</formula>
    </cfRule>
    <cfRule type="cellIs" dxfId="790" priority="981" operator="equal">
      <formula>"Muy Baja"</formula>
    </cfRule>
  </conditionalFormatting>
  <conditionalFormatting sqref="AD128">
    <cfRule type="cellIs" dxfId="789" priority="972" operator="equal">
      <formula>"Catastrófico"</formula>
    </cfRule>
    <cfRule type="cellIs" dxfId="788" priority="973" operator="equal">
      <formula>"Mayor"</formula>
    </cfRule>
    <cfRule type="cellIs" dxfId="787" priority="974" operator="equal">
      <formula>"Moderado"</formula>
    </cfRule>
    <cfRule type="cellIs" dxfId="786" priority="975" operator="equal">
      <formula>"Menor"</formula>
    </cfRule>
    <cfRule type="cellIs" dxfId="785" priority="976" operator="equal">
      <formula>"Leve"</formula>
    </cfRule>
  </conditionalFormatting>
  <conditionalFormatting sqref="AF128">
    <cfRule type="cellIs" dxfId="784" priority="968" operator="equal">
      <formula>"Extremo"</formula>
    </cfRule>
    <cfRule type="cellIs" dxfId="783" priority="969" operator="equal">
      <formula>"Alto"</formula>
    </cfRule>
    <cfRule type="cellIs" dxfId="782" priority="970" operator="equal">
      <formula>"Moderado"</formula>
    </cfRule>
    <cfRule type="cellIs" dxfId="781" priority="971" operator="equal">
      <formula>"Bajo"</formula>
    </cfRule>
  </conditionalFormatting>
  <conditionalFormatting sqref="AB129">
    <cfRule type="cellIs" dxfId="780" priority="963" operator="equal">
      <formula>"Muy Alta"</formula>
    </cfRule>
    <cfRule type="cellIs" dxfId="779" priority="964" operator="equal">
      <formula>"Alta"</formula>
    </cfRule>
    <cfRule type="cellIs" dxfId="778" priority="965" operator="equal">
      <formula>"Media"</formula>
    </cfRule>
    <cfRule type="cellIs" dxfId="777" priority="966" operator="equal">
      <formula>"Baja"</formula>
    </cfRule>
    <cfRule type="cellIs" dxfId="776" priority="967" operator="equal">
      <formula>"Muy Baja"</formula>
    </cfRule>
  </conditionalFormatting>
  <conditionalFormatting sqref="AD129">
    <cfRule type="cellIs" dxfId="775" priority="958" operator="equal">
      <formula>"Catastrófico"</formula>
    </cfRule>
    <cfRule type="cellIs" dxfId="774" priority="959" operator="equal">
      <formula>"Mayor"</formula>
    </cfRule>
    <cfRule type="cellIs" dxfId="773" priority="960" operator="equal">
      <formula>"Moderado"</formula>
    </cfRule>
    <cfRule type="cellIs" dxfId="772" priority="961" operator="equal">
      <formula>"Menor"</formula>
    </cfRule>
    <cfRule type="cellIs" dxfId="771" priority="962" operator="equal">
      <formula>"Leve"</formula>
    </cfRule>
  </conditionalFormatting>
  <conditionalFormatting sqref="AF129">
    <cfRule type="cellIs" dxfId="770" priority="954" operator="equal">
      <formula>"Extremo"</formula>
    </cfRule>
    <cfRule type="cellIs" dxfId="769" priority="955" operator="equal">
      <formula>"Alto"</formula>
    </cfRule>
    <cfRule type="cellIs" dxfId="768" priority="956" operator="equal">
      <formula>"Moderado"</formula>
    </cfRule>
    <cfRule type="cellIs" dxfId="767" priority="957" operator="equal">
      <formula>"Bajo"</formula>
    </cfRule>
  </conditionalFormatting>
  <conditionalFormatting sqref="K127">
    <cfRule type="cellIs" dxfId="766" priority="949" operator="equal">
      <formula>"Muy Alta"</formula>
    </cfRule>
    <cfRule type="cellIs" dxfId="765" priority="950" operator="equal">
      <formula>"Alta"</formula>
    </cfRule>
    <cfRule type="cellIs" dxfId="764" priority="951" operator="equal">
      <formula>"Media"</formula>
    </cfRule>
    <cfRule type="cellIs" dxfId="763" priority="952" operator="equal">
      <formula>"Baja"</formula>
    </cfRule>
    <cfRule type="cellIs" dxfId="762" priority="953" operator="equal">
      <formula>"Muy Baja"</formula>
    </cfRule>
  </conditionalFormatting>
  <conditionalFormatting sqref="O127">
    <cfRule type="cellIs" dxfId="761" priority="944" operator="equal">
      <formula>"Catastrófico"</formula>
    </cfRule>
    <cfRule type="cellIs" dxfId="760" priority="945" operator="equal">
      <formula>"Mayor"</formula>
    </cfRule>
    <cfRule type="cellIs" dxfId="759" priority="946" operator="equal">
      <formula>"Moderado"</formula>
    </cfRule>
    <cfRule type="cellIs" dxfId="758" priority="947" operator="equal">
      <formula>"Menor"</formula>
    </cfRule>
    <cfRule type="cellIs" dxfId="757" priority="948" operator="equal">
      <formula>"Leve"</formula>
    </cfRule>
  </conditionalFormatting>
  <conditionalFormatting sqref="Q127">
    <cfRule type="cellIs" dxfId="756" priority="940" operator="equal">
      <formula>"Extremo"</formula>
    </cfRule>
    <cfRule type="cellIs" dxfId="755" priority="941" operator="equal">
      <formula>"Alto"</formula>
    </cfRule>
    <cfRule type="cellIs" dxfId="754" priority="942" operator="equal">
      <formula>"Moderado"</formula>
    </cfRule>
    <cfRule type="cellIs" dxfId="753" priority="943" operator="equal">
      <formula>"Bajo"</formula>
    </cfRule>
  </conditionalFormatting>
  <conditionalFormatting sqref="N127:N129">
    <cfRule type="containsText" dxfId="752" priority="939" operator="containsText" text="❌">
      <formula>NOT(ISERROR(SEARCH("❌",N127)))</formula>
    </cfRule>
  </conditionalFormatting>
  <conditionalFormatting sqref="AB127:AB129">
    <cfRule type="cellIs" dxfId="751" priority="934" operator="equal">
      <formula>"Muy Alta"</formula>
    </cfRule>
    <cfRule type="cellIs" dxfId="750" priority="935" operator="equal">
      <formula>"Alta"</formula>
    </cfRule>
    <cfRule type="cellIs" dxfId="749" priority="936" operator="equal">
      <formula>"Media"</formula>
    </cfRule>
    <cfRule type="cellIs" dxfId="748" priority="937" operator="equal">
      <formula>"Baja"</formula>
    </cfRule>
    <cfRule type="cellIs" dxfId="747" priority="938" operator="equal">
      <formula>"Muy Baja"</formula>
    </cfRule>
  </conditionalFormatting>
  <conditionalFormatting sqref="AD127:AD129">
    <cfRule type="cellIs" dxfId="746" priority="929" operator="equal">
      <formula>"Catastrófico"</formula>
    </cfRule>
    <cfRule type="cellIs" dxfId="745" priority="930" operator="equal">
      <formula>"Mayor"</formula>
    </cfRule>
    <cfRule type="cellIs" dxfId="744" priority="931" operator="equal">
      <formula>"Moderado"</formula>
    </cfRule>
    <cfRule type="cellIs" dxfId="743" priority="932" operator="equal">
      <formula>"Menor"</formula>
    </cfRule>
    <cfRule type="cellIs" dxfId="742" priority="933" operator="equal">
      <formula>"Leve"</formula>
    </cfRule>
  </conditionalFormatting>
  <conditionalFormatting sqref="AF127:AF129">
    <cfRule type="cellIs" dxfId="741" priority="925" operator="equal">
      <formula>"Extremo"</formula>
    </cfRule>
    <cfRule type="cellIs" dxfId="740" priority="926" operator="equal">
      <formula>"Alto"</formula>
    </cfRule>
    <cfRule type="cellIs" dxfId="739" priority="927" operator="equal">
      <formula>"Moderado"</formula>
    </cfRule>
    <cfRule type="cellIs" dxfId="738" priority="928" operator="equal">
      <formula>"Bajo"</formula>
    </cfRule>
  </conditionalFormatting>
  <conditionalFormatting sqref="N127:N129">
    <cfRule type="containsText" dxfId="737" priority="924" operator="containsText" text="❌">
      <formula>NOT(ISERROR(SEARCH("❌",N127)))</formula>
    </cfRule>
  </conditionalFormatting>
  <conditionalFormatting sqref="AB130">
    <cfRule type="cellIs" dxfId="736" priority="919" operator="equal">
      <formula>"Muy Alta"</formula>
    </cfRule>
    <cfRule type="cellIs" dxfId="735" priority="920" operator="equal">
      <formula>"Alta"</formula>
    </cfRule>
    <cfRule type="cellIs" dxfId="734" priority="921" operator="equal">
      <formula>"Media"</formula>
    </cfRule>
    <cfRule type="cellIs" dxfId="733" priority="922" operator="equal">
      <formula>"Baja"</formula>
    </cfRule>
    <cfRule type="cellIs" dxfId="732" priority="923" operator="equal">
      <formula>"Muy Baja"</formula>
    </cfRule>
  </conditionalFormatting>
  <conditionalFormatting sqref="AD130">
    <cfRule type="cellIs" dxfId="731" priority="914" operator="equal">
      <formula>"Catastrófico"</formula>
    </cfRule>
    <cfRule type="cellIs" dxfId="730" priority="915" operator="equal">
      <formula>"Mayor"</formula>
    </cfRule>
    <cfRule type="cellIs" dxfId="729" priority="916" operator="equal">
      <formula>"Moderado"</formula>
    </cfRule>
    <cfRule type="cellIs" dxfId="728" priority="917" operator="equal">
      <formula>"Menor"</formula>
    </cfRule>
    <cfRule type="cellIs" dxfId="727" priority="918" operator="equal">
      <formula>"Leve"</formula>
    </cfRule>
  </conditionalFormatting>
  <conditionalFormatting sqref="AF130">
    <cfRule type="cellIs" dxfId="726" priority="910" operator="equal">
      <formula>"Extremo"</formula>
    </cfRule>
    <cfRule type="cellIs" dxfId="725" priority="911" operator="equal">
      <formula>"Alto"</formula>
    </cfRule>
    <cfRule type="cellIs" dxfId="724" priority="912" operator="equal">
      <formula>"Moderado"</formula>
    </cfRule>
    <cfRule type="cellIs" dxfId="723" priority="913" operator="equal">
      <formula>"Bajo"</formula>
    </cfRule>
  </conditionalFormatting>
  <conditionalFormatting sqref="AB131">
    <cfRule type="cellIs" dxfId="722" priority="905" operator="equal">
      <formula>"Muy Alta"</formula>
    </cfRule>
    <cfRule type="cellIs" dxfId="721" priority="906" operator="equal">
      <formula>"Alta"</formula>
    </cfRule>
    <cfRule type="cellIs" dxfId="720" priority="907" operator="equal">
      <formula>"Media"</formula>
    </cfRule>
    <cfRule type="cellIs" dxfId="719" priority="908" operator="equal">
      <formula>"Baja"</formula>
    </cfRule>
    <cfRule type="cellIs" dxfId="718" priority="909" operator="equal">
      <formula>"Muy Baja"</formula>
    </cfRule>
  </conditionalFormatting>
  <conditionalFormatting sqref="AD131">
    <cfRule type="cellIs" dxfId="717" priority="900" operator="equal">
      <formula>"Catastrófico"</formula>
    </cfRule>
    <cfRule type="cellIs" dxfId="716" priority="901" operator="equal">
      <formula>"Mayor"</formula>
    </cfRule>
    <cfRule type="cellIs" dxfId="715" priority="902" operator="equal">
      <formula>"Moderado"</formula>
    </cfRule>
    <cfRule type="cellIs" dxfId="714" priority="903" operator="equal">
      <formula>"Menor"</formula>
    </cfRule>
    <cfRule type="cellIs" dxfId="713" priority="904" operator="equal">
      <formula>"Leve"</formula>
    </cfRule>
  </conditionalFormatting>
  <conditionalFormatting sqref="AF131">
    <cfRule type="cellIs" dxfId="712" priority="896" operator="equal">
      <formula>"Extremo"</formula>
    </cfRule>
    <cfRule type="cellIs" dxfId="711" priority="897" operator="equal">
      <formula>"Alto"</formula>
    </cfRule>
    <cfRule type="cellIs" dxfId="710" priority="898" operator="equal">
      <formula>"Moderado"</formula>
    </cfRule>
    <cfRule type="cellIs" dxfId="709" priority="899" operator="equal">
      <formula>"Bajo"</formula>
    </cfRule>
  </conditionalFormatting>
  <conditionalFormatting sqref="AB132">
    <cfRule type="cellIs" dxfId="708" priority="891" operator="equal">
      <formula>"Muy Alta"</formula>
    </cfRule>
    <cfRule type="cellIs" dxfId="707" priority="892" operator="equal">
      <formula>"Alta"</formula>
    </cfRule>
    <cfRule type="cellIs" dxfId="706" priority="893" operator="equal">
      <formula>"Media"</formula>
    </cfRule>
    <cfRule type="cellIs" dxfId="705" priority="894" operator="equal">
      <formula>"Baja"</formula>
    </cfRule>
    <cfRule type="cellIs" dxfId="704" priority="895" operator="equal">
      <formula>"Muy Baja"</formula>
    </cfRule>
  </conditionalFormatting>
  <conditionalFormatting sqref="AD132">
    <cfRule type="cellIs" dxfId="703" priority="886" operator="equal">
      <formula>"Catastrófico"</formula>
    </cfRule>
    <cfRule type="cellIs" dxfId="702" priority="887" operator="equal">
      <formula>"Mayor"</formula>
    </cfRule>
    <cfRule type="cellIs" dxfId="701" priority="888" operator="equal">
      <formula>"Moderado"</formula>
    </cfRule>
    <cfRule type="cellIs" dxfId="700" priority="889" operator="equal">
      <formula>"Menor"</formula>
    </cfRule>
    <cfRule type="cellIs" dxfId="699" priority="890" operator="equal">
      <formula>"Leve"</formula>
    </cfRule>
  </conditionalFormatting>
  <conditionalFormatting sqref="AF132">
    <cfRule type="cellIs" dxfId="698" priority="882" operator="equal">
      <formula>"Extremo"</formula>
    </cfRule>
    <cfRule type="cellIs" dxfId="697" priority="883" operator="equal">
      <formula>"Alto"</formula>
    </cfRule>
    <cfRule type="cellIs" dxfId="696" priority="884" operator="equal">
      <formula>"Moderado"</formula>
    </cfRule>
    <cfRule type="cellIs" dxfId="695" priority="885" operator="equal">
      <formula>"Bajo"</formula>
    </cfRule>
  </conditionalFormatting>
  <conditionalFormatting sqref="K130">
    <cfRule type="cellIs" dxfId="694" priority="877" operator="equal">
      <formula>"Muy Alta"</formula>
    </cfRule>
    <cfRule type="cellIs" dxfId="693" priority="878" operator="equal">
      <formula>"Alta"</formula>
    </cfRule>
    <cfRule type="cellIs" dxfId="692" priority="879" operator="equal">
      <formula>"Media"</formula>
    </cfRule>
    <cfRule type="cellIs" dxfId="691" priority="880" operator="equal">
      <formula>"Baja"</formula>
    </cfRule>
    <cfRule type="cellIs" dxfId="690" priority="881" operator="equal">
      <formula>"Muy Baja"</formula>
    </cfRule>
  </conditionalFormatting>
  <conditionalFormatting sqref="O130">
    <cfRule type="cellIs" dxfId="689" priority="872" operator="equal">
      <formula>"Catastrófico"</formula>
    </cfRule>
    <cfRule type="cellIs" dxfId="688" priority="873" operator="equal">
      <formula>"Mayor"</formula>
    </cfRule>
    <cfRule type="cellIs" dxfId="687" priority="874" operator="equal">
      <formula>"Moderado"</formula>
    </cfRule>
    <cfRule type="cellIs" dxfId="686" priority="875" operator="equal">
      <formula>"Menor"</formula>
    </cfRule>
    <cfRule type="cellIs" dxfId="685" priority="876" operator="equal">
      <formula>"Leve"</formula>
    </cfRule>
  </conditionalFormatting>
  <conditionalFormatting sqref="Q130">
    <cfRule type="cellIs" dxfId="684" priority="868" operator="equal">
      <formula>"Extremo"</formula>
    </cfRule>
    <cfRule type="cellIs" dxfId="683" priority="869" operator="equal">
      <formula>"Alto"</formula>
    </cfRule>
    <cfRule type="cellIs" dxfId="682" priority="870" operator="equal">
      <formula>"Moderado"</formula>
    </cfRule>
    <cfRule type="cellIs" dxfId="681" priority="871" operator="equal">
      <formula>"Bajo"</formula>
    </cfRule>
  </conditionalFormatting>
  <conditionalFormatting sqref="N130:N132">
    <cfRule type="containsText" dxfId="680" priority="867" operator="containsText" text="❌">
      <formula>NOT(ISERROR(SEARCH("❌",N130)))</formula>
    </cfRule>
  </conditionalFormatting>
  <conditionalFormatting sqref="AB130:AB132">
    <cfRule type="cellIs" dxfId="679" priority="862" operator="equal">
      <formula>"Muy Alta"</formula>
    </cfRule>
    <cfRule type="cellIs" dxfId="678" priority="863" operator="equal">
      <formula>"Alta"</formula>
    </cfRule>
    <cfRule type="cellIs" dxfId="677" priority="864" operator="equal">
      <formula>"Media"</formula>
    </cfRule>
    <cfRule type="cellIs" dxfId="676" priority="865" operator="equal">
      <formula>"Baja"</formula>
    </cfRule>
    <cfRule type="cellIs" dxfId="675" priority="866" operator="equal">
      <formula>"Muy Baja"</formula>
    </cfRule>
  </conditionalFormatting>
  <conditionalFormatting sqref="AD130:AD132">
    <cfRule type="cellIs" dxfId="674" priority="857" operator="equal">
      <formula>"Catastrófico"</formula>
    </cfRule>
    <cfRule type="cellIs" dxfId="673" priority="858" operator="equal">
      <formula>"Mayor"</formula>
    </cfRule>
    <cfRule type="cellIs" dxfId="672" priority="859" operator="equal">
      <formula>"Moderado"</formula>
    </cfRule>
    <cfRule type="cellIs" dxfId="671" priority="860" operator="equal">
      <formula>"Menor"</formula>
    </cfRule>
    <cfRule type="cellIs" dxfId="670" priority="861" operator="equal">
      <formula>"Leve"</formula>
    </cfRule>
  </conditionalFormatting>
  <conditionalFormatting sqref="AF130:AF132">
    <cfRule type="cellIs" dxfId="669" priority="853" operator="equal">
      <formula>"Extremo"</formula>
    </cfRule>
    <cfRule type="cellIs" dxfId="668" priority="854" operator="equal">
      <formula>"Alto"</formula>
    </cfRule>
    <cfRule type="cellIs" dxfId="667" priority="855" operator="equal">
      <formula>"Moderado"</formula>
    </cfRule>
    <cfRule type="cellIs" dxfId="666" priority="856" operator="equal">
      <formula>"Bajo"</formula>
    </cfRule>
  </conditionalFormatting>
  <conditionalFormatting sqref="N130:N132">
    <cfRule type="containsText" dxfId="665" priority="852" operator="containsText" text="❌">
      <formula>NOT(ISERROR(SEARCH("❌",N130)))</formula>
    </cfRule>
  </conditionalFormatting>
  <conditionalFormatting sqref="AB133">
    <cfRule type="cellIs" dxfId="664" priority="847" operator="equal">
      <formula>"Muy Alta"</formula>
    </cfRule>
    <cfRule type="cellIs" dxfId="663" priority="848" operator="equal">
      <formula>"Alta"</formula>
    </cfRule>
    <cfRule type="cellIs" dxfId="662" priority="849" operator="equal">
      <formula>"Media"</formula>
    </cfRule>
    <cfRule type="cellIs" dxfId="661" priority="850" operator="equal">
      <formula>"Baja"</formula>
    </cfRule>
    <cfRule type="cellIs" dxfId="660" priority="851" operator="equal">
      <formula>"Muy Baja"</formula>
    </cfRule>
  </conditionalFormatting>
  <conditionalFormatting sqref="AD133">
    <cfRule type="cellIs" dxfId="659" priority="842" operator="equal">
      <formula>"Catastrófico"</formula>
    </cfRule>
    <cfRule type="cellIs" dxfId="658" priority="843" operator="equal">
      <formula>"Mayor"</formula>
    </cfRule>
    <cfRule type="cellIs" dxfId="657" priority="844" operator="equal">
      <formula>"Moderado"</formula>
    </cfRule>
    <cfRule type="cellIs" dxfId="656" priority="845" operator="equal">
      <formula>"Menor"</formula>
    </cfRule>
    <cfRule type="cellIs" dxfId="655" priority="846" operator="equal">
      <formula>"Leve"</formula>
    </cfRule>
  </conditionalFormatting>
  <conditionalFormatting sqref="AF133">
    <cfRule type="cellIs" dxfId="654" priority="838" operator="equal">
      <formula>"Extremo"</formula>
    </cfRule>
    <cfRule type="cellIs" dxfId="653" priority="839" operator="equal">
      <formula>"Alto"</formula>
    </cfRule>
    <cfRule type="cellIs" dxfId="652" priority="840" operator="equal">
      <formula>"Moderado"</formula>
    </cfRule>
    <cfRule type="cellIs" dxfId="651" priority="841" operator="equal">
      <formula>"Bajo"</formula>
    </cfRule>
  </conditionalFormatting>
  <conditionalFormatting sqref="AB134">
    <cfRule type="cellIs" dxfId="650" priority="833" operator="equal">
      <formula>"Muy Alta"</formula>
    </cfRule>
    <cfRule type="cellIs" dxfId="649" priority="834" operator="equal">
      <formula>"Alta"</formula>
    </cfRule>
    <cfRule type="cellIs" dxfId="648" priority="835" operator="equal">
      <formula>"Media"</formula>
    </cfRule>
    <cfRule type="cellIs" dxfId="647" priority="836" operator="equal">
      <formula>"Baja"</formula>
    </cfRule>
    <cfRule type="cellIs" dxfId="646" priority="837" operator="equal">
      <formula>"Muy Baja"</formula>
    </cfRule>
  </conditionalFormatting>
  <conditionalFormatting sqref="AD134">
    <cfRule type="cellIs" dxfId="645" priority="828" operator="equal">
      <formula>"Catastrófico"</formula>
    </cfRule>
    <cfRule type="cellIs" dxfId="644" priority="829" operator="equal">
      <formula>"Mayor"</formula>
    </cfRule>
    <cfRule type="cellIs" dxfId="643" priority="830" operator="equal">
      <formula>"Moderado"</formula>
    </cfRule>
    <cfRule type="cellIs" dxfId="642" priority="831" operator="equal">
      <formula>"Menor"</formula>
    </cfRule>
    <cfRule type="cellIs" dxfId="641" priority="832" operator="equal">
      <formula>"Leve"</formula>
    </cfRule>
  </conditionalFormatting>
  <conditionalFormatting sqref="AF134">
    <cfRule type="cellIs" dxfId="640" priority="824" operator="equal">
      <formula>"Extremo"</formula>
    </cfRule>
    <cfRule type="cellIs" dxfId="639" priority="825" operator="equal">
      <formula>"Alto"</formula>
    </cfRule>
    <cfRule type="cellIs" dxfId="638" priority="826" operator="equal">
      <formula>"Moderado"</formula>
    </cfRule>
    <cfRule type="cellIs" dxfId="637" priority="827" operator="equal">
      <formula>"Bajo"</formula>
    </cfRule>
  </conditionalFormatting>
  <conditionalFormatting sqref="AB135">
    <cfRule type="cellIs" dxfId="636" priority="819" operator="equal">
      <formula>"Muy Alta"</formula>
    </cfRule>
    <cfRule type="cellIs" dxfId="635" priority="820" operator="equal">
      <formula>"Alta"</formula>
    </cfRule>
    <cfRule type="cellIs" dxfId="634" priority="821" operator="equal">
      <formula>"Media"</formula>
    </cfRule>
    <cfRule type="cellIs" dxfId="633" priority="822" operator="equal">
      <formula>"Baja"</formula>
    </cfRule>
    <cfRule type="cellIs" dxfId="632" priority="823" operator="equal">
      <formula>"Muy Baja"</formula>
    </cfRule>
  </conditionalFormatting>
  <conditionalFormatting sqref="AD135">
    <cfRule type="cellIs" dxfId="631" priority="814" operator="equal">
      <formula>"Catastrófico"</formula>
    </cfRule>
    <cfRule type="cellIs" dxfId="630" priority="815" operator="equal">
      <formula>"Mayor"</formula>
    </cfRule>
    <cfRule type="cellIs" dxfId="629" priority="816" operator="equal">
      <formula>"Moderado"</formula>
    </cfRule>
    <cfRule type="cellIs" dxfId="628" priority="817" operator="equal">
      <formula>"Menor"</formula>
    </cfRule>
    <cfRule type="cellIs" dxfId="627" priority="818" operator="equal">
      <formula>"Leve"</formula>
    </cfRule>
  </conditionalFormatting>
  <conditionalFormatting sqref="AF135">
    <cfRule type="cellIs" dxfId="626" priority="810" operator="equal">
      <formula>"Extremo"</formula>
    </cfRule>
    <cfRule type="cellIs" dxfId="625" priority="811" operator="equal">
      <formula>"Alto"</formula>
    </cfRule>
    <cfRule type="cellIs" dxfId="624" priority="812" operator="equal">
      <formula>"Moderado"</formula>
    </cfRule>
    <cfRule type="cellIs" dxfId="623" priority="813" operator="equal">
      <formula>"Bajo"</formula>
    </cfRule>
  </conditionalFormatting>
  <conditionalFormatting sqref="K133">
    <cfRule type="cellIs" dxfId="622" priority="805" operator="equal">
      <formula>"Muy Alta"</formula>
    </cfRule>
    <cfRule type="cellIs" dxfId="621" priority="806" operator="equal">
      <formula>"Alta"</formula>
    </cfRule>
    <cfRule type="cellIs" dxfId="620" priority="807" operator="equal">
      <formula>"Media"</formula>
    </cfRule>
    <cfRule type="cellIs" dxfId="619" priority="808" operator="equal">
      <formula>"Baja"</formula>
    </cfRule>
    <cfRule type="cellIs" dxfId="618" priority="809" operator="equal">
      <formula>"Muy Baja"</formula>
    </cfRule>
  </conditionalFormatting>
  <conditionalFormatting sqref="O133">
    <cfRule type="cellIs" dxfId="617" priority="800" operator="equal">
      <formula>"Catastrófico"</formula>
    </cfRule>
    <cfRule type="cellIs" dxfId="616" priority="801" operator="equal">
      <formula>"Mayor"</formula>
    </cfRule>
    <cfRule type="cellIs" dxfId="615" priority="802" operator="equal">
      <formula>"Moderado"</formula>
    </cfRule>
    <cfRule type="cellIs" dxfId="614" priority="803" operator="equal">
      <formula>"Menor"</formula>
    </cfRule>
    <cfRule type="cellIs" dxfId="613" priority="804" operator="equal">
      <formula>"Leve"</formula>
    </cfRule>
  </conditionalFormatting>
  <conditionalFormatting sqref="Q133">
    <cfRule type="cellIs" dxfId="612" priority="796" operator="equal">
      <formula>"Extremo"</formula>
    </cfRule>
    <cfRule type="cellIs" dxfId="611" priority="797" operator="equal">
      <formula>"Alto"</formula>
    </cfRule>
    <cfRule type="cellIs" dxfId="610" priority="798" operator="equal">
      <formula>"Moderado"</formula>
    </cfRule>
    <cfRule type="cellIs" dxfId="609" priority="799" operator="equal">
      <formula>"Bajo"</formula>
    </cfRule>
  </conditionalFormatting>
  <conditionalFormatting sqref="N133:N135">
    <cfRule type="containsText" dxfId="608" priority="795" operator="containsText" text="❌">
      <formula>NOT(ISERROR(SEARCH("❌",N133)))</formula>
    </cfRule>
  </conditionalFormatting>
  <conditionalFormatting sqref="AB133:AB135">
    <cfRule type="cellIs" dxfId="607" priority="790" operator="equal">
      <formula>"Muy Alta"</formula>
    </cfRule>
    <cfRule type="cellIs" dxfId="606" priority="791" operator="equal">
      <formula>"Alta"</formula>
    </cfRule>
    <cfRule type="cellIs" dxfId="605" priority="792" operator="equal">
      <formula>"Media"</formula>
    </cfRule>
    <cfRule type="cellIs" dxfId="604" priority="793" operator="equal">
      <formula>"Baja"</formula>
    </cfRule>
    <cfRule type="cellIs" dxfId="603" priority="794" operator="equal">
      <formula>"Muy Baja"</formula>
    </cfRule>
  </conditionalFormatting>
  <conditionalFormatting sqref="AD133:AD135">
    <cfRule type="cellIs" dxfId="602" priority="785" operator="equal">
      <formula>"Catastrófico"</formula>
    </cfRule>
    <cfRule type="cellIs" dxfId="601" priority="786" operator="equal">
      <formula>"Mayor"</formula>
    </cfRule>
    <cfRule type="cellIs" dxfId="600" priority="787" operator="equal">
      <formula>"Moderado"</formula>
    </cfRule>
    <cfRule type="cellIs" dxfId="599" priority="788" operator="equal">
      <formula>"Menor"</formula>
    </cfRule>
    <cfRule type="cellIs" dxfId="598" priority="789" operator="equal">
      <formula>"Leve"</formula>
    </cfRule>
  </conditionalFormatting>
  <conditionalFormatting sqref="AF133:AF135">
    <cfRule type="cellIs" dxfId="597" priority="781" operator="equal">
      <formula>"Extremo"</formula>
    </cfRule>
    <cfRule type="cellIs" dxfId="596" priority="782" operator="equal">
      <formula>"Alto"</formula>
    </cfRule>
    <cfRule type="cellIs" dxfId="595" priority="783" operator="equal">
      <formula>"Moderado"</formula>
    </cfRule>
    <cfRule type="cellIs" dxfId="594" priority="784" operator="equal">
      <formula>"Bajo"</formula>
    </cfRule>
  </conditionalFormatting>
  <conditionalFormatting sqref="N133:N135">
    <cfRule type="containsText" dxfId="593" priority="780" operator="containsText" text="❌">
      <formula>NOT(ISERROR(SEARCH("❌",N133)))</formula>
    </cfRule>
  </conditionalFormatting>
  <conditionalFormatting sqref="AB136">
    <cfRule type="cellIs" dxfId="592" priority="703" operator="equal">
      <formula>"Muy Alta"</formula>
    </cfRule>
    <cfRule type="cellIs" dxfId="591" priority="704" operator="equal">
      <formula>"Alta"</formula>
    </cfRule>
    <cfRule type="cellIs" dxfId="590" priority="705" operator="equal">
      <formula>"Media"</formula>
    </cfRule>
    <cfRule type="cellIs" dxfId="589" priority="706" operator="equal">
      <formula>"Baja"</formula>
    </cfRule>
    <cfRule type="cellIs" dxfId="588" priority="707" operator="equal">
      <formula>"Muy Baja"</formula>
    </cfRule>
  </conditionalFormatting>
  <conditionalFormatting sqref="AD136">
    <cfRule type="cellIs" dxfId="587" priority="698" operator="equal">
      <formula>"Catastrófico"</formula>
    </cfRule>
    <cfRule type="cellIs" dxfId="586" priority="699" operator="equal">
      <formula>"Mayor"</formula>
    </cfRule>
    <cfRule type="cellIs" dxfId="585" priority="700" operator="equal">
      <formula>"Moderado"</formula>
    </cfRule>
    <cfRule type="cellIs" dxfId="584" priority="701" operator="equal">
      <formula>"Menor"</formula>
    </cfRule>
    <cfRule type="cellIs" dxfId="583" priority="702" operator="equal">
      <formula>"Leve"</formula>
    </cfRule>
  </conditionalFormatting>
  <conditionalFormatting sqref="AF136">
    <cfRule type="cellIs" dxfId="582" priority="694" operator="equal">
      <formula>"Extremo"</formula>
    </cfRule>
    <cfRule type="cellIs" dxfId="581" priority="695" operator="equal">
      <formula>"Alto"</formula>
    </cfRule>
    <cfRule type="cellIs" dxfId="580" priority="696" operator="equal">
      <formula>"Moderado"</formula>
    </cfRule>
    <cfRule type="cellIs" dxfId="579" priority="697" operator="equal">
      <formula>"Bajo"</formula>
    </cfRule>
  </conditionalFormatting>
  <conditionalFormatting sqref="AB137">
    <cfRule type="cellIs" dxfId="578" priority="689" operator="equal">
      <formula>"Muy Alta"</formula>
    </cfRule>
    <cfRule type="cellIs" dxfId="577" priority="690" operator="equal">
      <formula>"Alta"</formula>
    </cfRule>
    <cfRule type="cellIs" dxfId="576" priority="691" operator="equal">
      <formula>"Media"</formula>
    </cfRule>
    <cfRule type="cellIs" dxfId="575" priority="692" operator="equal">
      <formula>"Baja"</formula>
    </cfRule>
    <cfRule type="cellIs" dxfId="574" priority="693" operator="equal">
      <formula>"Muy Baja"</formula>
    </cfRule>
  </conditionalFormatting>
  <conditionalFormatting sqref="AD137">
    <cfRule type="cellIs" dxfId="573" priority="684" operator="equal">
      <formula>"Catastrófico"</formula>
    </cfRule>
    <cfRule type="cellIs" dxfId="572" priority="685" operator="equal">
      <formula>"Mayor"</formula>
    </cfRule>
    <cfRule type="cellIs" dxfId="571" priority="686" operator="equal">
      <formula>"Moderado"</formula>
    </cfRule>
    <cfRule type="cellIs" dxfId="570" priority="687" operator="equal">
      <formula>"Menor"</formula>
    </cfRule>
    <cfRule type="cellIs" dxfId="569" priority="688" operator="equal">
      <formula>"Leve"</formula>
    </cfRule>
  </conditionalFormatting>
  <conditionalFormatting sqref="AF137">
    <cfRule type="cellIs" dxfId="568" priority="680" operator="equal">
      <formula>"Extremo"</formula>
    </cfRule>
    <cfRule type="cellIs" dxfId="567" priority="681" operator="equal">
      <formula>"Alto"</formula>
    </cfRule>
    <cfRule type="cellIs" dxfId="566" priority="682" operator="equal">
      <formula>"Moderado"</formula>
    </cfRule>
    <cfRule type="cellIs" dxfId="565" priority="683" operator="equal">
      <formula>"Bajo"</formula>
    </cfRule>
  </conditionalFormatting>
  <conditionalFormatting sqref="AB138">
    <cfRule type="cellIs" dxfId="564" priority="675" operator="equal">
      <formula>"Muy Alta"</formula>
    </cfRule>
    <cfRule type="cellIs" dxfId="563" priority="676" operator="equal">
      <formula>"Alta"</formula>
    </cfRule>
    <cfRule type="cellIs" dxfId="562" priority="677" operator="equal">
      <formula>"Media"</formula>
    </cfRule>
    <cfRule type="cellIs" dxfId="561" priority="678" operator="equal">
      <formula>"Baja"</formula>
    </cfRule>
    <cfRule type="cellIs" dxfId="560" priority="679" operator="equal">
      <formula>"Muy Baja"</formula>
    </cfRule>
  </conditionalFormatting>
  <conditionalFormatting sqref="AD138">
    <cfRule type="cellIs" dxfId="559" priority="670" operator="equal">
      <formula>"Catastrófico"</formula>
    </cfRule>
    <cfRule type="cellIs" dxfId="558" priority="671" operator="equal">
      <formula>"Mayor"</formula>
    </cfRule>
    <cfRule type="cellIs" dxfId="557" priority="672" operator="equal">
      <formula>"Moderado"</formula>
    </cfRule>
    <cfRule type="cellIs" dxfId="556" priority="673" operator="equal">
      <formula>"Menor"</formula>
    </cfRule>
    <cfRule type="cellIs" dxfId="555" priority="674" operator="equal">
      <formula>"Leve"</formula>
    </cfRule>
  </conditionalFormatting>
  <conditionalFormatting sqref="AF138">
    <cfRule type="cellIs" dxfId="554" priority="666" operator="equal">
      <formula>"Extremo"</formula>
    </cfRule>
    <cfRule type="cellIs" dxfId="553" priority="667" operator="equal">
      <formula>"Alto"</formula>
    </cfRule>
    <cfRule type="cellIs" dxfId="552" priority="668" operator="equal">
      <formula>"Moderado"</formula>
    </cfRule>
    <cfRule type="cellIs" dxfId="551" priority="669" operator="equal">
      <formula>"Bajo"</formula>
    </cfRule>
  </conditionalFormatting>
  <conditionalFormatting sqref="K136">
    <cfRule type="cellIs" dxfId="550" priority="661" operator="equal">
      <formula>"Muy Alta"</formula>
    </cfRule>
    <cfRule type="cellIs" dxfId="549" priority="662" operator="equal">
      <formula>"Alta"</formula>
    </cfRule>
    <cfRule type="cellIs" dxfId="548" priority="663" operator="equal">
      <formula>"Media"</formula>
    </cfRule>
    <cfRule type="cellIs" dxfId="547" priority="664" operator="equal">
      <formula>"Baja"</formula>
    </cfRule>
    <cfRule type="cellIs" dxfId="546" priority="665" operator="equal">
      <formula>"Muy Baja"</formula>
    </cfRule>
  </conditionalFormatting>
  <conditionalFormatting sqref="O136">
    <cfRule type="cellIs" dxfId="545" priority="656" operator="equal">
      <formula>"Catastrófico"</formula>
    </cfRule>
    <cfRule type="cellIs" dxfId="544" priority="657" operator="equal">
      <formula>"Mayor"</formula>
    </cfRule>
    <cfRule type="cellIs" dxfId="543" priority="658" operator="equal">
      <formula>"Moderado"</formula>
    </cfRule>
    <cfRule type="cellIs" dxfId="542" priority="659" operator="equal">
      <formula>"Menor"</formula>
    </cfRule>
    <cfRule type="cellIs" dxfId="541" priority="660" operator="equal">
      <formula>"Leve"</formula>
    </cfRule>
  </conditionalFormatting>
  <conditionalFormatting sqref="Q136">
    <cfRule type="cellIs" dxfId="540" priority="652" operator="equal">
      <formula>"Extremo"</formula>
    </cfRule>
    <cfRule type="cellIs" dxfId="539" priority="653" operator="equal">
      <formula>"Alto"</formula>
    </cfRule>
    <cfRule type="cellIs" dxfId="538" priority="654" operator="equal">
      <formula>"Moderado"</formula>
    </cfRule>
    <cfRule type="cellIs" dxfId="537" priority="655" operator="equal">
      <formula>"Bajo"</formula>
    </cfRule>
  </conditionalFormatting>
  <conditionalFormatting sqref="N136:N138">
    <cfRule type="containsText" dxfId="536" priority="651" operator="containsText" text="❌">
      <formula>NOT(ISERROR(SEARCH("❌",N136)))</formula>
    </cfRule>
  </conditionalFormatting>
  <conditionalFormatting sqref="AB136:AB138">
    <cfRule type="cellIs" dxfId="535" priority="646" operator="equal">
      <formula>"Muy Alta"</formula>
    </cfRule>
    <cfRule type="cellIs" dxfId="534" priority="647" operator="equal">
      <formula>"Alta"</formula>
    </cfRule>
    <cfRule type="cellIs" dxfId="533" priority="648" operator="equal">
      <formula>"Media"</formula>
    </cfRule>
    <cfRule type="cellIs" dxfId="532" priority="649" operator="equal">
      <formula>"Baja"</formula>
    </cfRule>
    <cfRule type="cellIs" dxfId="531" priority="650" operator="equal">
      <formula>"Muy Baja"</formula>
    </cfRule>
  </conditionalFormatting>
  <conditionalFormatting sqref="AD136:AD138">
    <cfRule type="cellIs" dxfId="530" priority="641" operator="equal">
      <formula>"Catastrófico"</formula>
    </cfRule>
    <cfRule type="cellIs" dxfId="529" priority="642" operator="equal">
      <formula>"Mayor"</formula>
    </cfRule>
    <cfRule type="cellIs" dxfId="528" priority="643" operator="equal">
      <formula>"Moderado"</formula>
    </cfRule>
    <cfRule type="cellIs" dxfId="527" priority="644" operator="equal">
      <formula>"Menor"</formula>
    </cfRule>
    <cfRule type="cellIs" dxfId="526" priority="645" operator="equal">
      <formula>"Leve"</formula>
    </cfRule>
  </conditionalFormatting>
  <conditionalFormatting sqref="AF136:AF138">
    <cfRule type="cellIs" dxfId="525" priority="637" operator="equal">
      <formula>"Extremo"</formula>
    </cfRule>
    <cfRule type="cellIs" dxfId="524" priority="638" operator="equal">
      <formula>"Alto"</formula>
    </cfRule>
    <cfRule type="cellIs" dxfId="523" priority="639" operator="equal">
      <formula>"Moderado"</formula>
    </cfRule>
    <cfRule type="cellIs" dxfId="522" priority="640" operator="equal">
      <formula>"Bajo"</formula>
    </cfRule>
  </conditionalFormatting>
  <conditionalFormatting sqref="N136:N138">
    <cfRule type="containsText" dxfId="521" priority="636" operator="containsText" text="❌">
      <formula>NOT(ISERROR(SEARCH("❌",N136)))</formula>
    </cfRule>
  </conditionalFormatting>
  <conditionalFormatting sqref="AB139">
    <cfRule type="cellIs" dxfId="520" priority="631" operator="equal">
      <formula>"Muy Alta"</formula>
    </cfRule>
    <cfRule type="cellIs" dxfId="519" priority="632" operator="equal">
      <formula>"Alta"</formula>
    </cfRule>
    <cfRule type="cellIs" dxfId="518" priority="633" operator="equal">
      <formula>"Media"</formula>
    </cfRule>
    <cfRule type="cellIs" dxfId="517" priority="634" operator="equal">
      <formula>"Baja"</formula>
    </cfRule>
    <cfRule type="cellIs" dxfId="516" priority="635" operator="equal">
      <formula>"Muy Baja"</formula>
    </cfRule>
  </conditionalFormatting>
  <conditionalFormatting sqref="AD139">
    <cfRule type="cellIs" dxfId="515" priority="626" operator="equal">
      <formula>"Catastrófico"</formula>
    </cfRule>
    <cfRule type="cellIs" dxfId="514" priority="627" operator="equal">
      <formula>"Mayor"</formula>
    </cfRule>
    <cfRule type="cellIs" dxfId="513" priority="628" operator="equal">
      <formula>"Moderado"</formula>
    </cfRule>
    <cfRule type="cellIs" dxfId="512" priority="629" operator="equal">
      <formula>"Menor"</formula>
    </cfRule>
    <cfRule type="cellIs" dxfId="511" priority="630" operator="equal">
      <formula>"Leve"</formula>
    </cfRule>
  </conditionalFormatting>
  <conditionalFormatting sqref="AF139">
    <cfRule type="cellIs" dxfId="510" priority="622" operator="equal">
      <formula>"Extremo"</formula>
    </cfRule>
    <cfRule type="cellIs" dxfId="509" priority="623" operator="equal">
      <formula>"Alto"</formula>
    </cfRule>
    <cfRule type="cellIs" dxfId="508" priority="624" operator="equal">
      <formula>"Moderado"</formula>
    </cfRule>
    <cfRule type="cellIs" dxfId="507" priority="625" operator="equal">
      <formula>"Bajo"</formula>
    </cfRule>
  </conditionalFormatting>
  <conditionalFormatting sqref="AB140">
    <cfRule type="cellIs" dxfId="506" priority="617" operator="equal">
      <formula>"Muy Alta"</formula>
    </cfRule>
    <cfRule type="cellIs" dxfId="505" priority="618" operator="equal">
      <formula>"Alta"</formula>
    </cfRule>
    <cfRule type="cellIs" dxfId="504" priority="619" operator="equal">
      <formula>"Media"</formula>
    </cfRule>
    <cfRule type="cellIs" dxfId="503" priority="620" operator="equal">
      <formula>"Baja"</formula>
    </cfRule>
    <cfRule type="cellIs" dxfId="502" priority="621" operator="equal">
      <formula>"Muy Baja"</formula>
    </cfRule>
  </conditionalFormatting>
  <conditionalFormatting sqref="AD140">
    <cfRule type="cellIs" dxfId="501" priority="612" operator="equal">
      <formula>"Catastrófico"</formula>
    </cfRule>
    <cfRule type="cellIs" dxfId="500" priority="613" operator="equal">
      <formula>"Mayor"</formula>
    </cfRule>
    <cfRule type="cellIs" dxfId="499" priority="614" operator="equal">
      <formula>"Moderado"</formula>
    </cfRule>
    <cfRule type="cellIs" dxfId="498" priority="615" operator="equal">
      <formula>"Menor"</formula>
    </cfRule>
    <cfRule type="cellIs" dxfId="497" priority="616" operator="equal">
      <formula>"Leve"</formula>
    </cfRule>
  </conditionalFormatting>
  <conditionalFormatting sqref="AF140">
    <cfRule type="cellIs" dxfId="496" priority="608" operator="equal">
      <formula>"Extremo"</formula>
    </cfRule>
    <cfRule type="cellIs" dxfId="495" priority="609" operator="equal">
      <formula>"Alto"</formula>
    </cfRule>
    <cfRule type="cellIs" dxfId="494" priority="610" operator="equal">
      <formula>"Moderado"</formula>
    </cfRule>
    <cfRule type="cellIs" dxfId="493" priority="611" operator="equal">
      <formula>"Bajo"</formula>
    </cfRule>
  </conditionalFormatting>
  <conditionalFormatting sqref="AB141">
    <cfRule type="cellIs" dxfId="492" priority="603" operator="equal">
      <formula>"Muy Alta"</formula>
    </cfRule>
    <cfRule type="cellIs" dxfId="491" priority="604" operator="equal">
      <formula>"Alta"</formula>
    </cfRule>
    <cfRule type="cellIs" dxfId="490" priority="605" operator="equal">
      <formula>"Media"</formula>
    </cfRule>
    <cfRule type="cellIs" dxfId="489" priority="606" operator="equal">
      <formula>"Baja"</formula>
    </cfRule>
    <cfRule type="cellIs" dxfId="488" priority="607" operator="equal">
      <formula>"Muy Baja"</formula>
    </cfRule>
  </conditionalFormatting>
  <conditionalFormatting sqref="AD141">
    <cfRule type="cellIs" dxfId="487" priority="598" operator="equal">
      <formula>"Catastrófico"</formula>
    </cfRule>
    <cfRule type="cellIs" dxfId="486" priority="599" operator="equal">
      <formula>"Mayor"</formula>
    </cfRule>
    <cfRule type="cellIs" dxfId="485" priority="600" operator="equal">
      <formula>"Moderado"</formula>
    </cfRule>
    <cfRule type="cellIs" dxfId="484" priority="601" operator="equal">
      <formula>"Menor"</formula>
    </cfRule>
    <cfRule type="cellIs" dxfId="483" priority="602" operator="equal">
      <formula>"Leve"</formula>
    </cfRule>
  </conditionalFormatting>
  <conditionalFormatting sqref="AF141">
    <cfRule type="cellIs" dxfId="482" priority="594" operator="equal">
      <formula>"Extremo"</formula>
    </cfRule>
    <cfRule type="cellIs" dxfId="481" priority="595" operator="equal">
      <formula>"Alto"</formula>
    </cfRule>
    <cfRule type="cellIs" dxfId="480" priority="596" operator="equal">
      <formula>"Moderado"</formula>
    </cfRule>
    <cfRule type="cellIs" dxfId="479" priority="597" operator="equal">
      <formula>"Bajo"</formula>
    </cfRule>
  </conditionalFormatting>
  <conditionalFormatting sqref="K139">
    <cfRule type="cellIs" dxfId="478" priority="589" operator="equal">
      <formula>"Muy Alta"</formula>
    </cfRule>
    <cfRule type="cellIs" dxfId="477" priority="590" operator="equal">
      <formula>"Alta"</formula>
    </cfRule>
    <cfRule type="cellIs" dxfId="476" priority="591" operator="equal">
      <formula>"Media"</formula>
    </cfRule>
    <cfRule type="cellIs" dxfId="475" priority="592" operator="equal">
      <formula>"Baja"</formula>
    </cfRule>
    <cfRule type="cellIs" dxfId="474" priority="593" operator="equal">
      <formula>"Muy Baja"</formula>
    </cfRule>
  </conditionalFormatting>
  <conditionalFormatting sqref="O139">
    <cfRule type="cellIs" dxfId="473" priority="584" operator="equal">
      <formula>"Catastrófico"</formula>
    </cfRule>
    <cfRule type="cellIs" dxfId="472" priority="585" operator="equal">
      <formula>"Mayor"</formula>
    </cfRule>
    <cfRule type="cellIs" dxfId="471" priority="586" operator="equal">
      <formula>"Moderado"</formula>
    </cfRule>
    <cfRule type="cellIs" dxfId="470" priority="587" operator="equal">
      <formula>"Menor"</formula>
    </cfRule>
    <cfRule type="cellIs" dxfId="469" priority="588" operator="equal">
      <formula>"Leve"</formula>
    </cfRule>
  </conditionalFormatting>
  <conditionalFormatting sqref="Q139">
    <cfRule type="cellIs" dxfId="468" priority="580" operator="equal">
      <formula>"Extremo"</formula>
    </cfRule>
    <cfRule type="cellIs" dxfId="467" priority="581" operator="equal">
      <formula>"Alto"</formula>
    </cfRule>
    <cfRule type="cellIs" dxfId="466" priority="582" operator="equal">
      <formula>"Moderado"</formula>
    </cfRule>
    <cfRule type="cellIs" dxfId="465" priority="583" operator="equal">
      <formula>"Bajo"</formula>
    </cfRule>
  </conditionalFormatting>
  <conditionalFormatting sqref="N139:N141">
    <cfRule type="containsText" dxfId="464" priority="579" operator="containsText" text="❌">
      <formula>NOT(ISERROR(SEARCH("❌",N139)))</formula>
    </cfRule>
  </conditionalFormatting>
  <conditionalFormatting sqref="AB139:AB141">
    <cfRule type="cellIs" dxfId="463" priority="574" operator="equal">
      <formula>"Muy Alta"</formula>
    </cfRule>
    <cfRule type="cellIs" dxfId="462" priority="575" operator="equal">
      <formula>"Alta"</formula>
    </cfRule>
    <cfRule type="cellIs" dxfId="461" priority="576" operator="equal">
      <formula>"Media"</formula>
    </cfRule>
    <cfRule type="cellIs" dxfId="460" priority="577" operator="equal">
      <formula>"Baja"</formula>
    </cfRule>
    <cfRule type="cellIs" dxfId="459" priority="578" operator="equal">
      <formula>"Muy Baja"</formula>
    </cfRule>
  </conditionalFormatting>
  <conditionalFormatting sqref="AD139:AD141">
    <cfRule type="cellIs" dxfId="458" priority="569" operator="equal">
      <formula>"Catastrófico"</formula>
    </cfRule>
    <cfRule type="cellIs" dxfId="457" priority="570" operator="equal">
      <formula>"Mayor"</formula>
    </cfRule>
    <cfRule type="cellIs" dxfId="456" priority="571" operator="equal">
      <formula>"Moderado"</formula>
    </cfRule>
    <cfRule type="cellIs" dxfId="455" priority="572" operator="equal">
      <formula>"Menor"</formula>
    </cfRule>
    <cfRule type="cellIs" dxfId="454" priority="573" operator="equal">
      <formula>"Leve"</formula>
    </cfRule>
  </conditionalFormatting>
  <conditionalFormatting sqref="AF139:AF141">
    <cfRule type="cellIs" dxfId="453" priority="565" operator="equal">
      <formula>"Extremo"</formula>
    </cfRule>
    <cfRule type="cellIs" dxfId="452" priority="566" operator="equal">
      <formula>"Alto"</formula>
    </cfRule>
    <cfRule type="cellIs" dxfId="451" priority="567" operator="equal">
      <formula>"Moderado"</formula>
    </cfRule>
    <cfRule type="cellIs" dxfId="450" priority="568" operator="equal">
      <formula>"Bajo"</formula>
    </cfRule>
  </conditionalFormatting>
  <conditionalFormatting sqref="N139:N141">
    <cfRule type="containsText" dxfId="449" priority="564" operator="containsText" text="❌">
      <formula>NOT(ISERROR(SEARCH("❌",N139)))</formula>
    </cfRule>
  </conditionalFormatting>
  <conditionalFormatting sqref="AB142">
    <cfRule type="cellIs" dxfId="448" priority="559" operator="equal">
      <formula>"Muy Alta"</formula>
    </cfRule>
    <cfRule type="cellIs" dxfId="447" priority="560" operator="equal">
      <formula>"Alta"</formula>
    </cfRule>
    <cfRule type="cellIs" dxfId="446" priority="561" operator="equal">
      <formula>"Media"</formula>
    </cfRule>
    <cfRule type="cellIs" dxfId="445" priority="562" operator="equal">
      <formula>"Baja"</formula>
    </cfRule>
    <cfRule type="cellIs" dxfId="444" priority="563" operator="equal">
      <formula>"Muy Baja"</formula>
    </cfRule>
  </conditionalFormatting>
  <conditionalFormatting sqref="AD142">
    <cfRule type="cellIs" dxfId="443" priority="554" operator="equal">
      <formula>"Catastrófico"</formula>
    </cfRule>
    <cfRule type="cellIs" dxfId="442" priority="555" operator="equal">
      <formula>"Mayor"</formula>
    </cfRule>
    <cfRule type="cellIs" dxfId="441" priority="556" operator="equal">
      <formula>"Moderado"</formula>
    </cfRule>
    <cfRule type="cellIs" dxfId="440" priority="557" operator="equal">
      <formula>"Menor"</formula>
    </cfRule>
    <cfRule type="cellIs" dxfId="439" priority="558" operator="equal">
      <formula>"Leve"</formula>
    </cfRule>
  </conditionalFormatting>
  <conditionalFormatting sqref="AF142">
    <cfRule type="cellIs" dxfId="438" priority="550" operator="equal">
      <formula>"Extremo"</formula>
    </cfRule>
    <cfRule type="cellIs" dxfId="437" priority="551" operator="equal">
      <formula>"Alto"</formula>
    </cfRule>
    <cfRule type="cellIs" dxfId="436" priority="552" operator="equal">
      <formula>"Moderado"</formula>
    </cfRule>
    <cfRule type="cellIs" dxfId="435" priority="553" operator="equal">
      <formula>"Bajo"</formula>
    </cfRule>
  </conditionalFormatting>
  <conditionalFormatting sqref="AB143">
    <cfRule type="cellIs" dxfId="434" priority="545" operator="equal">
      <formula>"Muy Alta"</formula>
    </cfRule>
    <cfRule type="cellIs" dxfId="433" priority="546" operator="equal">
      <formula>"Alta"</formula>
    </cfRule>
    <cfRule type="cellIs" dxfId="432" priority="547" operator="equal">
      <formula>"Media"</formula>
    </cfRule>
    <cfRule type="cellIs" dxfId="431" priority="548" operator="equal">
      <formula>"Baja"</formula>
    </cfRule>
    <cfRule type="cellIs" dxfId="430" priority="549" operator="equal">
      <formula>"Muy Baja"</formula>
    </cfRule>
  </conditionalFormatting>
  <conditionalFormatting sqref="AD143">
    <cfRule type="cellIs" dxfId="429" priority="540" operator="equal">
      <formula>"Catastrófico"</formula>
    </cfRule>
    <cfRule type="cellIs" dxfId="428" priority="541" operator="equal">
      <formula>"Mayor"</formula>
    </cfRule>
    <cfRule type="cellIs" dxfId="427" priority="542" operator="equal">
      <formula>"Moderado"</formula>
    </cfRule>
    <cfRule type="cellIs" dxfId="426" priority="543" operator="equal">
      <formula>"Menor"</formula>
    </cfRule>
    <cfRule type="cellIs" dxfId="425" priority="544" operator="equal">
      <formula>"Leve"</formula>
    </cfRule>
  </conditionalFormatting>
  <conditionalFormatting sqref="AF143">
    <cfRule type="cellIs" dxfId="424" priority="536" operator="equal">
      <formula>"Extremo"</formula>
    </cfRule>
    <cfRule type="cellIs" dxfId="423" priority="537" operator="equal">
      <formula>"Alto"</formula>
    </cfRule>
    <cfRule type="cellIs" dxfId="422" priority="538" operator="equal">
      <formula>"Moderado"</formula>
    </cfRule>
    <cfRule type="cellIs" dxfId="421" priority="539" operator="equal">
      <formula>"Bajo"</formula>
    </cfRule>
  </conditionalFormatting>
  <conditionalFormatting sqref="AB144">
    <cfRule type="cellIs" dxfId="420" priority="531" operator="equal">
      <formula>"Muy Alta"</formula>
    </cfRule>
    <cfRule type="cellIs" dxfId="419" priority="532" operator="equal">
      <formula>"Alta"</formula>
    </cfRule>
    <cfRule type="cellIs" dxfId="418" priority="533" operator="equal">
      <formula>"Media"</formula>
    </cfRule>
    <cfRule type="cellIs" dxfId="417" priority="534" operator="equal">
      <formula>"Baja"</formula>
    </cfRule>
    <cfRule type="cellIs" dxfId="416" priority="535" operator="equal">
      <formula>"Muy Baja"</formula>
    </cfRule>
  </conditionalFormatting>
  <conditionalFormatting sqref="AD144">
    <cfRule type="cellIs" dxfId="415" priority="526" operator="equal">
      <formula>"Catastrófico"</formula>
    </cfRule>
    <cfRule type="cellIs" dxfId="414" priority="527" operator="equal">
      <formula>"Mayor"</formula>
    </cfRule>
    <cfRule type="cellIs" dxfId="413" priority="528" operator="equal">
      <formula>"Moderado"</formula>
    </cfRule>
    <cfRule type="cellIs" dxfId="412" priority="529" operator="equal">
      <formula>"Menor"</formula>
    </cfRule>
    <cfRule type="cellIs" dxfId="411" priority="530" operator="equal">
      <formula>"Leve"</formula>
    </cfRule>
  </conditionalFormatting>
  <conditionalFormatting sqref="AF144">
    <cfRule type="cellIs" dxfId="410" priority="522" operator="equal">
      <formula>"Extremo"</formula>
    </cfRule>
    <cfRule type="cellIs" dxfId="409" priority="523" operator="equal">
      <formula>"Alto"</formula>
    </cfRule>
    <cfRule type="cellIs" dxfId="408" priority="524" operator="equal">
      <formula>"Moderado"</formula>
    </cfRule>
    <cfRule type="cellIs" dxfId="407" priority="525" operator="equal">
      <formula>"Bajo"</formula>
    </cfRule>
  </conditionalFormatting>
  <conditionalFormatting sqref="K142">
    <cfRule type="cellIs" dxfId="406" priority="517" operator="equal">
      <formula>"Muy Alta"</formula>
    </cfRule>
    <cfRule type="cellIs" dxfId="405" priority="518" operator="equal">
      <formula>"Alta"</formula>
    </cfRule>
    <cfRule type="cellIs" dxfId="404" priority="519" operator="equal">
      <formula>"Media"</formula>
    </cfRule>
    <cfRule type="cellIs" dxfId="403" priority="520" operator="equal">
      <formula>"Baja"</formula>
    </cfRule>
    <cfRule type="cellIs" dxfId="402" priority="521" operator="equal">
      <formula>"Muy Baja"</formula>
    </cfRule>
  </conditionalFormatting>
  <conditionalFormatting sqref="O142">
    <cfRule type="cellIs" dxfId="401" priority="512" operator="equal">
      <formula>"Catastrófico"</formula>
    </cfRule>
    <cfRule type="cellIs" dxfId="400" priority="513" operator="equal">
      <formula>"Mayor"</formula>
    </cfRule>
    <cfRule type="cellIs" dxfId="399" priority="514" operator="equal">
      <formula>"Moderado"</formula>
    </cfRule>
    <cfRule type="cellIs" dxfId="398" priority="515" operator="equal">
      <formula>"Menor"</formula>
    </cfRule>
    <cfRule type="cellIs" dxfId="397" priority="516" operator="equal">
      <formula>"Leve"</formula>
    </cfRule>
  </conditionalFormatting>
  <conditionalFormatting sqref="Q142">
    <cfRule type="cellIs" dxfId="396" priority="508" operator="equal">
      <formula>"Extremo"</formula>
    </cfRule>
    <cfRule type="cellIs" dxfId="395" priority="509" operator="equal">
      <formula>"Alto"</formula>
    </cfRule>
    <cfRule type="cellIs" dxfId="394" priority="510" operator="equal">
      <formula>"Moderado"</formula>
    </cfRule>
    <cfRule type="cellIs" dxfId="393" priority="511" operator="equal">
      <formula>"Bajo"</formula>
    </cfRule>
  </conditionalFormatting>
  <conditionalFormatting sqref="N142:N144">
    <cfRule type="containsText" dxfId="392" priority="507" operator="containsText" text="❌">
      <formula>NOT(ISERROR(SEARCH("❌",N142)))</formula>
    </cfRule>
  </conditionalFormatting>
  <conditionalFormatting sqref="AB142:AB144">
    <cfRule type="cellIs" dxfId="391" priority="502" operator="equal">
      <formula>"Muy Alta"</formula>
    </cfRule>
    <cfRule type="cellIs" dxfId="390" priority="503" operator="equal">
      <formula>"Alta"</formula>
    </cfRule>
    <cfRule type="cellIs" dxfId="389" priority="504" operator="equal">
      <formula>"Media"</formula>
    </cfRule>
    <cfRule type="cellIs" dxfId="388" priority="505" operator="equal">
      <formula>"Baja"</formula>
    </cfRule>
    <cfRule type="cellIs" dxfId="387" priority="506" operator="equal">
      <formula>"Muy Baja"</formula>
    </cfRule>
  </conditionalFormatting>
  <conditionalFormatting sqref="AD142:AD144">
    <cfRule type="cellIs" dxfId="386" priority="497" operator="equal">
      <formula>"Catastrófico"</formula>
    </cfRule>
    <cfRule type="cellIs" dxfId="385" priority="498" operator="equal">
      <formula>"Mayor"</formula>
    </cfRule>
    <cfRule type="cellIs" dxfId="384" priority="499" operator="equal">
      <formula>"Moderado"</formula>
    </cfRule>
    <cfRule type="cellIs" dxfId="383" priority="500" operator="equal">
      <formula>"Menor"</formula>
    </cfRule>
    <cfRule type="cellIs" dxfId="382" priority="501" operator="equal">
      <formula>"Leve"</formula>
    </cfRule>
  </conditionalFormatting>
  <conditionalFormatting sqref="AF142:AF144">
    <cfRule type="cellIs" dxfId="381" priority="493" operator="equal">
      <formula>"Extremo"</formula>
    </cfRule>
    <cfRule type="cellIs" dxfId="380" priority="494" operator="equal">
      <formula>"Alto"</formula>
    </cfRule>
    <cfRule type="cellIs" dxfId="379" priority="495" operator="equal">
      <formula>"Moderado"</formula>
    </cfRule>
    <cfRule type="cellIs" dxfId="378" priority="496" operator="equal">
      <formula>"Bajo"</formula>
    </cfRule>
  </conditionalFormatting>
  <conditionalFormatting sqref="N142:N144">
    <cfRule type="containsText" dxfId="377" priority="492" operator="containsText" text="❌">
      <formula>NOT(ISERROR(SEARCH("❌",N142)))</formula>
    </cfRule>
  </conditionalFormatting>
  <conditionalFormatting sqref="AB145">
    <cfRule type="cellIs" dxfId="376" priority="487" operator="equal">
      <formula>"Muy Alta"</formula>
    </cfRule>
    <cfRule type="cellIs" dxfId="375" priority="488" operator="equal">
      <formula>"Alta"</formula>
    </cfRule>
    <cfRule type="cellIs" dxfId="374" priority="489" operator="equal">
      <formula>"Media"</formula>
    </cfRule>
    <cfRule type="cellIs" dxfId="373" priority="490" operator="equal">
      <formula>"Baja"</formula>
    </cfRule>
    <cfRule type="cellIs" dxfId="372" priority="491" operator="equal">
      <formula>"Muy Baja"</formula>
    </cfRule>
  </conditionalFormatting>
  <conditionalFormatting sqref="AD145">
    <cfRule type="cellIs" dxfId="371" priority="482" operator="equal">
      <formula>"Catastrófico"</formula>
    </cfRule>
    <cfRule type="cellIs" dxfId="370" priority="483" operator="equal">
      <formula>"Mayor"</formula>
    </cfRule>
    <cfRule type="cellIs" dxfId="369" priority="484" operator="equal">
      <formula>"Moderado"</formula>
    </cfRule>
    <cfRule type="cellIs" dxfId="368" priority="485" operator="equal">
      <formula>"Menor"</formula>
    </cfRule>
    <cfRule type="cellIs" dxfId="367" priority="486" operator="equal">
      <formula>"Leve"</formula>
    </cfRule>
  </conditionalFormatting>
  <conditionalFormatting sqref="AF145">
    <cfRule type="cellIs" dxfId="366" priority="478" operator="equal">
      <formula>"Extremo"</formula>
    </cfRule>
    <cfRule type="cellIs" dxfId="365" priority="479" operator="equal">
      <formula>"Alto"</formula>
    </cfRule>
    <cfRule type="cellIs" dxfId="364" priority="480" operator="equal">
      <formula>"Moderado"</formula>
    </cfRule>
    <cfRule type="cellIs" dxfId="363" priority="481" operator="equal">
      <formula>"Bajo"</formula>
    </cfRule>
  </conditionalFormatting>
  <conditionalFormatting sqref="AB146">
    <cfRule type="cellIs" dxfId="362" priority="473" operator="equal">
      <formula>"Muy Alta"</formula>
    </cfRule>
    <cfRule type="cellIs" dxfId="361" priority="474" operator="equal">
      <formula>"Alta"</formula>
    </cfRule>
    <cfRule type="cellIs" dxfId="360" priority="475" operator="equal">
      <formula>"Media"</formula>
    </cfRule>
    <cfRule type="cellIs" dxfId="359" priority="476" operator="equal">
      <formula>"Baja"</formula>
    </cfRule>
    <cfRule type="cellIs" dxfId="358" priority="477" operator="equal">
      <formula>"Muy Baja"</formula>
    </cfRule>
  </conditionalFormatting>
  <conditionalFormatting sqref="AD146">
    <cfRule type="cellIs" dxfId="357" priority="468" operator="equal">
      <formula>"Catastrófico"</formula>
    </cfRule>
    <cfRule type="cellIs" dxfId="356" priority="469" operator="equal">
      <formula>"Mayor"</formula>
    </cfRule>
    <cfRule type="cellIs" dxfId="355" priority="470" operator="equal">
      <formula>"Moderado"</formula>
    </cfRule>
    <cfRule type="cellIs" dxfId="354" priority="471" operator="equal">
      <formula>"Menor"</formula>
    </cfRule>
    <cfRule type="cellIs" dxfId="353" priority="472" operator="equal">
      <formula>"Leve"</formula>
    </cfRule>
  </conditionalFormatting>
  <conditionalFormatting sqref="AF146">
    <cfRule type="cellIs" dxfId="352" priority="464" operator="equal">
      <formula>"Extremo"</formula>
    </cfRule>
    <cfRule type="cellIs" dxfId="351" priority="465" operator="equal">
      <formula>"Alto"</formula>
    </cfRule>
    <cfRule type="cellIs" dxfId="350" priority="466" operator="equal">
      <formula>"Moderado"</formula>
    </cfRule>
    <cfRule type="cellIs" dxfId="349" priority="467" operator="equal">
      <formula>"Bajo"</formula>
    </cfRule>
  </conditionalFormatting>
  <conditionalFormatting sqref="AB147">
    <cfRule type="cellIs" dxfId="348" priority="459" operator="equal">
      <formula>"Muy Alta"</formula>
    </cfRule>
    <cfRule type="cellIs" dxfId="347" priority="460" operator="equal">
      <formula>"Alta"</formula>
    </cfRule>
    <cfRule type="cellIs" dxfId="346" priority="461" operator="equal">
      <formula>"Media"</formula>
    </cfRule>
    <cfRule type="cellIs" dxfId="345" priority="462" operator="equal">
      <formula>"Baja"</formula>
    </cfRule>
    <cfRule type="cellIs" dxfId="344" priority="463" operator="equal">
      <formula>"Muy Baja"</formula>
    </cfRule>
  </conditionalFormatting>
  <conditionalFormatting sqref="AD147">
    <cfRule type="cellIs" dxfId="343" priority="454" operator="equal">
      <formula>"Catastrófico"</formula>
    </cfRule>
    <cfRule type="cellIs" dxfId="342" priority="455" operator="equal">
      <formula>"Mayor"</formula>
    </cfRule>
    <cfRule type="cellIs" dxfId="341" priority="456" operator="equal">
      <formula>"Moderado"</formula>
    </cfRule>
    <cfRule type="cellIs" dxfId="340" priority="457" operator="equal">
      <formula>"Menor"</formula>
    </cfRule>
    <cfRule type="cellIs" dxfId="339" priority="458" operator="equal">
      <formula>"Leve"</formula>
    </cfRule>
  </conditionalFormatting>
  <conditionalFormatting sqref="AF147">
    <cfRule type="cellIs" dxfId="338" priority="450" operator="equal">
      <formula>"Extremo"</formula>
    </cfRule>
    <cfRule type="cellIs" dxfId="337" priority="451" operator="equal">
      <formula>"Alto"</formula>
    </cfRule>
    <cfRule type="cellIs" dxfId="336" priority="452" operator="equal">
      <formula>"Moderado"</formula>
    </cfRule>
    <cfRule type="cellIs" dxfId="335" priority="453" operator="equal">
      <formula>"Bajo"</formula>
    </cfRule>
  </conditionalFormatting>
  <conditionalFormatting sqref="K145">
    <cfRule type="cellIs" dxfId="334" priority="445" operator="equal">
      <formula>"Muy Alta"</formula>
    </cfRule>
    <cfRule type="cellIs" dxfId="333" priority="446" operator="equal">
      <formula>"Alta"</formula>
    </cfRule>
    <cfRule type="cellIs" dxfId="332" priority="447" operator="equal">
      <formula>"Media"</formula>
    </cfRule>
    <cfRule type="cellIs" dxfId="331" priority="448" operator="equal">
      <formula>"Baja"</formula>
    </cfRule>
    <cfRule type="cellIs" dxfId="330" priority="449" operator="equal">
      <formula>"Muy Baja"</formula>
    </cfRule>
  </conditionalFormatting>
  <conditionalFormatting sqref="O145">
    <cfRule type="cellIs" dxfId="329" priority="440" operator="equal">
      <formula>"Catastrófico"</formula>
    </cfRule>
    <cfRule type="cellIs" dxfId="328" priority="441" operator="equal">
      <formula>"Mayor"</formula>
    </cfRule>
    <cfRule type="cellIs" dxfId="327" priority="442" operator="equal">
      <formula>"Moderado"</formula>
    </cfRule>
    <cfRule type="cellIs" dxfId="326" priority="443" operator="equal">
      <formula>"Menor"</formula>
    </cfRule>
    <cfRule type="cellIs" dxfId="325" priority="444" operator="equal">
      <formula>"Leve"</formula>
    </cfRule>
  </conditionalFormatting>
  <conditionalFormatting sqref="Q145">
    <cfRule type="cellIs" dxfId="324" priority="436" operator="equal">
      <formula>"Extremo"</formula>
    </cfRule>
    <cfRule type="cellIs" dxfId="323" priority="437" operator="equal">
      <formula>"Alto"</formula>
    </cfRule>
    <cfRule type="cellIs" dxfId="322" priority="438" operator="equal">
      <formula>"Moderado"</formula>
    </cfRule>
    <cfRule type="cellIs" dxfId="321" priority="439" operator="equal">
      <formula>"Bajo"</formula>
    </cfRule>
  </conditionalFormatting>
  <conditionalFormatting sqref="N145:N147">
    <cfRule type="containsText" dxfId="320" priority="435" operator="containsText" text="❌">
      <formula>NOT(ISERROR(SEARCH("❌",N145)))</formula>
    </cfRule>
  </conditionalFormatting>
  <conditionalFormatting sqref="AB145:AB147">
    <cfRule type="cellIs" dxfId="319" priority="430" operator="equal">
      <formula>"Muy Alta"</formula>
    </cfRule>
    <cfRule type="cellIs" dxfId="318" priority="431" operator="equal">
      <formula>"Alta"</formula>
    </cfRule>
    <cfRule type="cellIs" dxfId="317" priority="432" operator="equal">
      <formula>"Media"</formula>
    </cfRule>
    <cfRule type="cellIs" dxfId="316" priority="433" operator="equal">
      <formula>"Baja"</formula>
    </cfRule>
    <cfRule type="cellIs" dxfId="315" priority="434" operator="equal">
      <formula>"Muy Baja"</formula>
    </cfRule>
  </conditionalFormatting>
  <conditionalFormatting sqref="AD145:AD147">
    <cfRule type="cellIs" dxfId="314" priority="425" operator="equal">
      <formula>"Catastrófico"</formula>
    </cfRule>
    <cfRule type="cellIs" dxfId="313" priority="426" operator="equal">
      <formula>"Mayor"</formula>
    </cfRule>
    <cfRule type="cellIs" dxfId="312" priority="427" operator="equal">
      <formula>"Moderado"</formula>
    </cfRule>
    <cfRule type="cellIs" dxfId="311" priority="428" operator="equal">
      <formula>"Menor"</formula>
    </cfRule>
    <cfRule type="cellIs" dxfId="310" priority="429" operator="equal">
      <formula>"Leve"</formula>
    </cfRule>
  </conditionalFormatting>
  <conditionalFormatting sqref="AF145:AF147">
    <cfRule type="cellIs" dxfId="309" priority="421" operator="equal">
      <formula>"Extremo"</formula>
    </cfRule>
    <cfRule type="cellIs" dxfId="308" priority="422" operator="equal">
      <formula>"Alto"</formula>
    </cfRule>
    <cfRule type="cellIs" dxfId="307" priority="423" operator="equal">
      <formula>"Moderado"</formula>
    </cfRule>
    <cfRule type="cellIs" dxfId="306" priority="424" operator="equal">
      <formula>"Bajo"</formula>
    </cfRule>
  </conditionalFormatting>
  <conditionalFormatting sqref="N145:N147">
    <cfRule type="containsText" dxfId="305" priority="420" operator="containsText" text="❌">
      <formula>NOT(ISERROR(SEARCH("❌",N145)))</formula>
    </cfRule>
  </conditionalFormatting>
  <conditionalFormatting sqref="AB148">
    <cfRule type="cellIs" dxfId="304" priority="415" operator="equal">
      <formula>"Muy Alta"</formula>
    </cfRule>
    <cfRule type="cellIs" dxfId="303" priority="416" operator="equal">
      <formula>"Alta"</formula>
    </cfRule>
    <cfRule type="cellIs" dxfId="302" priority="417" operator="equal">
      <formula>"Media"</formula>
    </cfRule>
    <cfRule type="cellIs" dxfId="301" priority="418" operator="equal">
      <formula>"Baja"</formula>
    </cfRule>
    <cfRule type="cellIs" dxfId="300" priority="419" operator="equal">
      <formula>"Muy Baja"</formula>
    </cfRule>
  </conditionalFormatting>
  <conditionalFormatting sqref="AD148">
    <cfRule type="cellIs" dxfId="299" priority="410" operator="equal">
      <formula>"Catastrófico"</formula>
    </cfRule>
    <cfRule type="cellIs" dxfId="298" priority="411" operator="equal">
      <formula>"Mayor"</formula>
    </cfRule>
    <cfRule type="cellIs" dxfId="297" priority="412" operator="equal">
      <formula>"Moderado"</formula>
    </cfRule>
    <cfRule type="cellIs" dxfId="296" priority="413" operator="equal">
      <formula>"Menor"</formula>
    </cfRule>
    <cfRule type="cellIs" dxfId="295" priority="414" operator="equal">
      <formula>"Leve"</formula>
    </cfRule>
  </conditionalFormatting>
  <conditionalFormatting sqref="AF148">
    <cfRule type="cellIs" dxfId="294" priority="406" operator="equal">
      <formula>"Extremo"</formula>
    </cfRule>
    <cfRule type="cellIs" dxfId="293" priority="407" operator="equal">
      <formula>"Alto"</formula>
    </cfRule>
    <cfRule type="cellIs" dxfId="292" priority="408" operator="equal">
      <formula>"Moderado"</formula>
    </cfRule>
    <cfRule type="cellIs" dxfId="291" priority="409" operator="equal">
      <formula>"Bajo"</formula>
    </cfRule>
  </conditionalFormatting>
  <conditionalFormatting sqref="AB149">
    <cfRule type="cellIs" dxfId="290" priority="401" operator="equal">
      <formula>"Muy Alta"</formula>
    </cfRule>
    <cfRule type="cellIs" dxfId="289" priority="402" operator="equal">
      <formula>"Alta"</formula>
    </cfRule>
    <cfRule type="cellIs" dxfId="288" priority="403" operator="equal">
      <formula>"Media"</formula>
    </cfRule>
    <cfRule type="cellIs" dxfId="287" priority="404" operator="equal">
      <formula>"Baja"</formula>
    </cfRule>
    <cfRule type="cellIs" dxfId="286" priority="405" operator="equal">
      <formula>"Muy Baja"</formula>
    </cfRule>
  </conditionalFormatting>
  <conditionalFormatting sqref="AD149">
    <cfRule type="cellIs" dxfId="285" priority="396" operator="equal">
      <formula>"Catastrófico"</formula>
    </cfRule>
    <cfRule type="cellIs" dxfId="284" priority="397" operator="equal">
      <formula>"Mayor"</formula>
    </cfRule>
    <cfRule type="cellIs" dxfId="283" priority="398" operator="equal">
      <formula>"Moderado"</formula>
    </cfRule>
    <cfRule type="cellIs" dxfId="282" priority="399" operator="equal">
      <formula>"Menor"</formula>
    </cfRule>
    <cfRule type="cellIs" dxfId="281" priority="400" operator="equal">
      <formula>"Leve"</formula>
    </cfRule>
  </conditionalFormatting>
  <conditionalFormatting sqref="AF149">
    <cfRule type="cellIs" dxfId="280" priority="392" operator="equal">
      <formula>"Extremo"</formula>
    </cfRule>
    <cfRule type="cellIs" dxfId="279" priority="393" operator="equal">
      <formula>"Alto"</formula>
    </cfRule>
    <cfRule type="cellIs" dxfId="278" priority="394" operator="equal">
      <formula>"Moderado"</formula>
    </cfRule>
    <cfRule type="cellIs" dxfId="277" priority="395" operator="equal">
      <formula>"Bajo"</formula>
    </cfRule>
  </conditionalFormatting>
  <conditionalFormatting sqref="AB150">
    <cfRule type="cellIs" dxfId="276" priority="387" operator="equal">
      <formula>"Muy Alta"</formula>
    </cfRule>
    <cfRule type="cellIs" dxfId="275" priority="388" operator="equal">
      <formula>"Alta"</formula>
    </cfRule>
    <cfRule type="cellIs" dxfId="274" priority="389" operator="equal">
      <formula>"Media"</formula>
    </cfRule>
    <cfRule type="cellIs" dxfId="273" priority="390" operator="equal">
      <formula>"Baja"</formula>
    </cfRule>
    <cfRule type="cellIs" dxfId="272" priority="391" operator="equal">
      <formula>"Muy Baja"</formula>
    </cfRule>
  </conditionalFormatting>
  <conditionalFormatting sqref="AD150">
    <cfRule type="cellIs" dxfId="271" priority="382" operator="equal">
      <formula>"Catastrófico"</formula>
    </cfRule>
    <cfRule type="cellIs" dxfId="270" priority="383" operator="equal">
      <formula>"Mayor"</formula>
    </cfRule>
    <cfRule type="cellIs" dxfId="269" priority="384" operator="equal">
      <formula>"Moderado"</formula>
    </cfRule>
    <cfRule type="cellIs" dxfId="268" priority="385" operator="equal">
      <formula>"Menor"</formula>
    </cfRule>
    <cfRule type="cellIs" dxfId="267" priority="386" operator="equal">
      <formula>"Leve"</formula>
    </cfRule>
  </conditionalFormatting>
  <conditionalFormatting sqref="AF150">
    <cfRule type="cellIs" dxfId="266" priority="378" operator="equal">
      <formula>"Extremo"</formula>
    </cfRule>
    <cfRule type="cellIs" dxfId="265" priority="379" operator="equal">
      <formula>"Alto"</formula>
    </cfRule>
    <cfRule type="cellIs" dxfId="264" priority="380" operator="equal">
      <formula>"Moderado"</formula>
    </cfRule>
    <cfRule type="cellIs" dxfId="263" priority="381" operator="equal">
      <formula>"Bajo"</formula>
    </cfRule>
  </conditionalFormatting>
  <conditionalFormatting sqref="K148">
    <cfRule type="cellIs" dxfId="262" priority="373" operator="equal">
      <formula>"Muy Alta"</formula>
    </cfRule>
    <cfRule type="cellIs" dxfId="261" priority="374" operator="equal">
      <formula>"Alta"</formula>
    </cfRule>
    <cfRule type="cellIs" dxfId="260" priority="375" operator="equal">
      <formula>"Media"</formula>
    </cfRule>
    <cfRule type="cellIs" dxfId="259" priority="376" operator="equal">
      <formula>"Baja"</formula>
    </cfRule>
    <cfRule type="cellIs" dxfId="258" priority="377" operator="equal">
      <formula>"Muy Baja"</formula>
    </cfRule>
  </conditionalFormatting>
  <conditionalFormatting sqref="O148">
    <cfRule type="cellIs" dxfId="257" priority="368" operator="equal">
      <formula>"Catastrófico"</formula>
    </cfRule>
    <cfRule type="cellIs" dxfId="256" priority="369" operator="equal">
      <formula>"Mayor"</formula>
    </cfRule>
    <cfRule type="cellIs" dxfId="255" priority="370" operator="equal">
      <formula>"Moderado"</formula>
    </cfRule>
    <cfRule type="cellIs" dxfId="254" priority="371" operator="equal">
      <formula>"Menor"</formula>
    </cfRule>
    <cfRule type="cellIs" dxfId="253" priority="372" operator="equal">
      <formula>"Leve"</formula>
    </cfRule>
  </conditionalFormatting>
  <conditionalFormatting sqref="Q148">
    <cfRule type="cellIs" dxfId="252" priority="364" operator="equal">
      <formula>"Extremo"</formula>
    </cfRule>
    <cfRule type="cellIs" dxfId="251" priority="365" operator="equal">
      <formula>"Alto"</formula>
    </cfRule>
    <cfRule type="cellIs" dxfId="250" priority="366" operator="equal">
      <formula>"Moderado"</formula>
    </cfRule>
    <cfRule type="cellIs" dxfId="249" priority="367" operator="equal">
      <formula>"Bajo"</formula>
    </cfRule>
  </conditionalFormatting>
  <conditionalFormatting sqref="N148:N150">
    <cfRule type="containsText" dxfId="248" priority="363" operator="containsText" text="❌">
      <formula>NOT(ISERROR(SEARCH("❌",N148)))</formula>
    </cfRule>
  </conditionalFormatting>
  <conditionalFormatting sqref="AB148:AB150">
    <cfRule type="cellIs" dxfId="247" priority="358" operator="equal">
      <formula>"Muy Alta"</formula>
    </cfRule>
    <cfRule type="cellIs" dxfId="246" priority="359" operator="equal">
      <formula>"Alta"</formula>
    </cfRule>
    <cfRule type="cellIs" dxfId="245" priority="360" operator="equal">
      <formula>"Media"</formula>
    </cfRule>
    <cfRule type="cellIs" dxfId="244" priority="361" operator="equal">
      <formula>"Baja"</formula>
    </cfRule>
    <cfRule type="cellIs" dxfId="243" priority="362" operator="equal">
      <formula>"Muy Baja"</formula>
    </cfRule>
  </conditionalFormatting>
  <conditionalFormatting sqref="AD148:AD150">
    <cfRule type="cellIs" dxfId="242" priority="353" operator="equal">
      <formula>"Catastrófico"</formula>
    </cfRule>
    <cfRule type="cellIs" dxfId="241" priority="354" operator="equal">
      <formula>"Mayor"</formula>
    </cfRule>
    <cfRule type="cellIs" dxfId="240" priority="355" operator="equal">
      <formula>"Moderado"</formula>
    </cfRule>
    <cfRule type="cellIs" dxfId="239" priority="356" operator="equal">
      <formula>"Menor"</formula>
    </cfRule>
    <cfRule type="cellIs" dxfId="238" priority="357" operator="equal">
      <formula>"Leve"</formula>
    </cfRule>
  </conditionalFormatting>
  <conditionalFormatting sqref="AF148:AF150">
    <cfRule type="cellIs" dxfId="237" priority="349" operator="equal">
      <formula>"Extremo"</formula>
    </cfRule>
    <cfRule type="cellIs" dxfId="236" priority="350" operator="equal">
      <formula>"Alto"</formula>
    </cfRule>
    <cfRule type="cellIs" dxfId="235" priority="351" operator="equal">
      <formula>"Moderado"</formula>
    </cfRule>
    <cfRule type="cellIs" dxfId="234" priority="352" operator="equal">
      <formula>"Bajo"</formula>
    </cfRule>
  </conditionalFormatting>
  <conditionalFormatting sqref="N148:N150">
    <cfRule type="containsText" dxfId="233" priority="348" operator="containsText" text="❌">
      <formula>NOT(ISERROR(SEARCH("❌",N148)))</formula>
    </cfRule>
  </conditionalFormatting>
  <conditionalFormatting sqref="AB17">
    <cfRule type="cellIs" dxfId="204" priority="315" operator="equal">
      <formula>"Muy Alta"</formula>
    </cfRule>
    <cfRule type="cellIs" dxfId="203" priority="316" operator="equal">
      <formula>"Alta"</formula>
    </cfRule>
    <cfRule type="cellIs" dxfId="202" priority="317" operator="equal">
      <formula>"Media"</formula>
    </cfRule>
    <cfRule type="cellIs" dxfId="201" priority="318" operator="equal">
      <formula>"Baja"</formula>
    </cfRule>
    <cfRule type="cellIs" dxfId="200" priority="319" operator="equal">
      <formula>"Muy Baja"</formula>
    </cfRule>
  </conditionalFormatting>
  <conditionalFormatting sqref="AD17">
    <cfRule type="cellIs" dxfId="199" priority="310" operator="equal">
      <formula>"Catastrófico"</formula>
    </cfRule>
    <cfRule type="cellIs" dxfId="198" priority="311" operator="equal">
      <formula>"Mayor"</formula>
    </cfRule>
    <cfRule type="cellIs" dxfId="197" priority="312" operator="equal">
      <formula>"Moderado"</formula>
    </cfRule>
    <cfRule type="cellIs" dxfId="196" priority="313" operator="equal">
      <formula>"Menor"</formula>
    </cfRule>
    <cfRule type="cellIs" dxfId="195" priority="314" operator="equal">
      <formula>"Leve"</formula>
    </cfRule>
  </conditionalFormatting>
  <conditionalFormatting sqref="AF17">
    <cfRule type="cellIs" dxfId="194" priority="306" operator="equal">
      <formula>"Extremo"</formula>
    </cfRule>
    <cfRule type="cellIs" dxfId="193" priority="307" operator="equal">
      <formula>"Alto"</formula>
    </cfRule>
    <cfRule type="cellIs" dxfId="192" priority="308" operator="equal">
      <formula>"Moderado"</formula>
    </cfRule>
    <cfRule type="cellIs" dxfId="191" priority="309" operator="equal">
      <formula>"Bajo"</formula>
    </cfRule>
  </conditionalFormatting>
  <conditionalFormatting sqref="AB18">
    <cfRule type="cellIs" dxfId="190" priority="301" operator="equal">
      <formula>"Muy Alta"</formula>
    </cfRule>
    <cfRule type="cellIs" dxfId="189" priority="302" operator="equal">
      <formula>"Alta"</formula>
    </cfRule>
    <cfRule type="cellIs" dxfId="188" priority="303" operator="equal">
      <formula>"Media"</formula>
    </cfRule>
    <cfRule type="cellIs" dxfId="187" priority="304" operator="equal">
      <formula>"Baja"</formula>
    </cfRule>
    <cfRule type="cellIs" dxfId="186" priority="305" operator="equal">
      <formula>"Muy Baja"</formula>
    </cfRule>
  </conditionalFormatting>
  <conditionalFormatting sqref="AD18">
    <cfRule type="cellIs" dxfId="185" priority="296" operator="equal">
      <formula>"Catastrófico"</formula>
    </cfRule>
    <cfRule type="cellIs" dxfId="184" priority="297" operator="equal">
      <formula>"Mayor"</formula>
    </cfRule>
    <cfRule type="cellIs" dxfId="183" priority="298" operator="equal">
      <formula>"Moderado"</formula>
    </cfRule>
    <cfRule type="cellIs" dxfId="182" priority="299" operator="equal">
      <formula>"Menor"</formula>
    </cfRule>
    <cfRule type="cellIs" dxfId="181" priority="300" operator="equal">
      <formula>"Leve"</formula>
    </cfRule>
  </conditionalFormatting>
  <conditionalFormatting sqref="AF18">
    <cfRule type="cellIs" dxfId="180" priority="292" operator="equal">
      <formula>"Extremo"</formula>
    </cfRule>
    <cfRule type="cellIs" dxfId="179" priority="293" operator="equal">
      <formula>"Alto"</formula>
    </cfRule>
    <cfRule type="cellIs" dxfId="178" priority="294" operator="equal">
      <formula>"Moderado"</formula>
    </cfRule>
    <cfRule type="cellIs" dxfId="177" priority="295" operator="equal">
      <formula>"Bajo"</formula>
    </cfRule>
  </conditionalFormatting>
  <conditionalFormatting sqref="O7">
    <cfRule type="cellIs" dxfId="176" priority="287" operator="equal">
      <formula>"Catastrófico"</formula>
    </cfRule>
    <cfRule type="cellIs" dxfId="175" priority="288" operator="equal">
      <formula>"Mayor"</formula>
    </cfRule>
    <cfRule type="cellIs" dxfId="174" priority="289" operator="equal">
      <formula>"Moderado"</formula>
    </cfRule>
    <cfRule type="cellIs" dxfId="173" priority="290" operator="equal">
      <formula>"Menor"</formula>
    </cfRule>
    <cfRule type="cellIs" dxfId="172" priority="291" operator="equal">
      <formula>"Leve"</formula>
    </cfRule>
  </conditionalFormatting>
  <conditionalFormatting sqref="AB82">
    <cfRule type="cellIs" dxfId="171" priority="210" operator="equal">
      <formula>"Muy Alta"</formula>
    </cfRule>
    <cfRule type="cellIs" dxfId="170" priority="211" operator="equal">
      <formula>"Alta"</formula>
    </cfRule>
    <cfRule type="cellIs" dxfId="169" priority="212" operator="equal">
      <formula>"Media"</formula>
    </cfRule>
    <cfRule type="cellIs" dxfId="168" priority="213" operator="equal">
      <formula>"Baja"</formula>
    </cfRule>
    <cfRule type="cellIs" dxfId="167" priority="214" operator="equal">
      <formula>"Muy Baja"</formula>
    </cfRule>
  </conditionalFormatting>
  <conditionalFormatting sqref="AD82">
    <cfRule type="cellIs" dxfId="166" priority="205" operator="equal">
      <formula>"Catastrófico"</formula>
    </cfRule>
    <cfRule type="cellIs" dxfId="165" priority="206" operator="equal">
      <formula>"Mayor"</formula>
    </cfRule>
    <cfRule type="cellIs" dxfId="164" priority="207" operator="equal">
      <formula>"Moderado"</formula>
    </cfRule>
    <cfRule type="cellIs" dxfId="163" priority="208" operator="equal">
      <formula>"Menor"</formula>
    </cfRule>
    <cfRule type="cellIs" dxfId="162" priority="209" operator="equal">
      <formula>"Leve"</formula>
    </cfRule>
  </conditionalFormatting>
  <conditionalFormatting sqref="AF82">
    <cfRule type="cellIs" dxfId="161" priority="201" operator="equal">
      <formula>"Extremo"</formula>
    </cfRule>
    <cfRule type="cellIs" dxfId="160" priority="202" operator="equal">
      <formula>"Alto"</formula>
    </cfRule>
    <cfRule type="cellIs" dxfId="159" priority="203" operator="equal">
      <formula>"Moderado"</formula>
    </cfRule>
    <cfRule type="cellIs" dxfId="158" priority="204" operator="equal">
      <formula>"Bajo"</formula>
    </cfRule>
  </conditionalFormatting>
  <conditionalFormatting sqref="K82">
    <cfRule type="cellIs" dxfId="157" priority="168" operator="equal">
      <formula>"Muy Alta"</formula>
    </cfRule>
    <cfRule type="cellIs" dxfId="156" priority="169" operator="equal">
      <formula>"Alta"</formula>
    </cfRule>
    <cfRule type="cellIs" dxfId="155" priority="170" operator="equal">
      <formula>"Media"</formula>
    </cfRule>
    <cfRule type="cellIs" dxfId="154" priority="171" operator="equal">
      <formula>"Baja"</formula>
    </cfRule>
    <cfRule type="cellIs" dxfId="153" priority="172" operator="equal">
      <formula>"Muy Baja"</formula>
    </cfRule>
  </conditionalFormatting>
  <conditionalFormatting sqref="AB83">
    <cfRule type="cellIs" dxfId="152" priority="196" operator="equal">
      <formula>"Muy Alta"</formula>
    </cfRule>
    <cfRule type="cellIs" dxfId="151" priority="197" operator="equal">
      <formula>"Alta"</formula>
    </cfRule>
    <cfRule type="cellIs" dxfId="150" priority="198" operator="equal">
      <formula>"Media"</formula>
    </cfRule>
    <cfRule type="cellIs" dxfId="149" priority="199" operator="equal">
      <formula>"Baja"</formula>
    </cfRule>
    <cfRule type="cellIs" dxfId="148" priority="200" operator="equal">
      <formula>"Muy Baja"</formula>
    </cfRule>
  </conditionalFormatting>
  <conditionalFormatting sqref="AD83">
    <cfRule type="cellIs" dxfId="147" priority="191" operator="equal">
      <formula>"Catastrófico"</formula>
    </cfRule>
    <cfRule type="cellIs" dxfId="146" priority="192" operator="equal">
      <formula>"Mayor"</formula>
    </cfRule>
    <cfRule type="cellIs" dxfId="145" priority="193" operator="equal">
      <formula>"Moderado"</formula>
    </cfRule>
    <cfRule type="cellIs" dxfId="144" priority="194" operator="equal">
      <formula>"Menor"</formula>
    </cfRule>
    <cfRule type="cellIs" dxfId="143" priority="195" operator="equal">
      <formula>"Leve"</formula>
    </cfRule>
  </conditionalFormatting>
  <conditionalFormatting sqref="AF83">
    <cfRule type="cellIs" dxfId="142" priority="187" operator="equal">
      <formula>"Extremo"</formula>
    </cfRule>
    <cfRule type="cellIs" dxfId="141" priority="188" operator="equal">
      <formula>"Alto"</formula>
    </cfRule>
    <cfRule type="cellIs" dxfId="140" priority="189" operator="equal">
      <formula>"Moderado"</formula>
    </cfRule>
    <cfRule type="cellIs" dxfId="139" priority="190" operator="equal">
      <formula>"Bajo"</formula>
    </cfRule>
  </conditionalFormatting>
  <conditionalFormatting sqref="AB84">
    <cfRule type="cellIs" dxfId="138" priority="182" operator="equal">
      <formula>"Muy Alta"</formula>
    </cfRule>
    <cfRule type="cellIs" dxfId="137" priority="183" operator="equal">
      <formula>"Alta"</formula>
    </cfRule>
    <cfRule type="cellIs" dxfId="136" priority="184" operator="equal">
      <formula>"Media"</formula>
    </cfRule>
    <cfRule type="cellIs" dxfId="135" priority="185" operator="equal">
      <formula>"Baja"</formula>
    </cfRule>
    <cfRule type="cellIs" dxfId="134" priority="186" operator="equal">
      <formula>"Muy Baja"</formula>
    </cfRule>
  </conditionalFormatting>
  <conditionalFormatting sqref="AD84">
    <cfRule type="cellIs" dxfId="133" priority="177" operator="equal">
      <formula>"Catastrófico"</formula>
    </cfRule>
    <cfRule type="cellIs" dxfId="132" priority="178" operator="equal">
      <formula>"Mayor"</formula>
    </cfRule>
    <cfRule type="cellIs" dxfId="131" priority="179" operator="equal">
      <formula>"Moderado"</formula>
    </cfRule>
    <cfRule type="cellIs" dxfId="130" priority="180" operator="equal">
      <formula>"Menor"</formula>
    </cfRule>
    <cfRule type="cellIs" dxfId="129" priority="181" operator="equal">
      <formula>"Leve"</formula>
    </cfRule>
  </conditionalFormatting>
  <conditionalFormatting sqref="AF84">
    <cfRule type="cellIs" dxfId="128" priority="173" operator="equal">
      <formula>"Extremo"</formula>
    </cfRule>
    <cfRule type="cellIs" dxfId="127" priority="174" operator="equal">
      <formula>"Alto"</formula>
    </cfRule>
    <cfRule type="cellIs" dxfId="126" priority="175" operator="equal">
      <formula>"Moderado"</formula>
    </cfRule>
    <cfRule type="cellIs" dxfId="125" priority="176" operator="equal">
      <formula>"Bajo"</formula>
    </cfRule>
  </conditionalFormatting>
  <conditionalFormatting sqref="O82">
    <cfRule type="cellIs" dxfId="124" priority="163" operator="equal">
      <formula>"Catastrófico"</formula>
    </cfRule>
    <cfRule type="cellIs" dxfId="123" priority="164" operator="equal">
      <formula>"Mayor"</formula>
    </cfRule>
    <cfRule type="cellIs" dxfId="122" priority="165" operator="equal">
      <formula>"Moderado"</formula>
    </cfRule>
    <cfRule type="cellIs" dxfId="121" priority="166" operator="equal">
      <formula>"Menor"</formula>
    </cfRule>
    <cfRule type="cellIs" dxfId="120" priority="167" operator="equal">
      <formula>"Leve"</formula>
    </cfRule>
  </conditionalFormatting>
  <conditionalFormatting sqref="Q82">
    <cfRule type="cellIs" dxfId="119" priority="159" operator="equal">
      <formula>"Extremo"</formula>
    </cfRule>
    <cfRule type="cellIs" dxfId="118" priority="160" operator="equal">
      <formula>"Alto"</formula>
    </cfRule>
    <cfRule type="cellIs" dxfId="117" priority="161" operator="equal">
      <formula>"Moderado"</formula>
    </cfRule>
    <cfRule type="cellIs" dxfId="116" priority="162" operator="equal">
      <formula>"Bajo"</formula>
    </cfRule>
  </conditionalFormatting>
  <conditionalFormatting sqref="N82:N84">
    <cfRule type="containsText" dxfId="115" priority="158" operator="containsText" text="❌">
      <formula>NOT(ISERROR(SEARCH("❌",N82)))</formula>
    </cfRule>
  </conditionalFormatting>
  <conditionalFormatting sqref="AF96">
    <cfRule type="cellIs" dxfId="114" priority="102" operator="equal">
      <formula>"Extremo"</formula>
    </cfRule>
    <cfRule type="cellIs" dxfId="113" priority="103" operator="equal">
      <formula>"Alto"</formula>
    </cfRule>
    <cfRule type="cellIs" dxfId="112" priority="104" operator="equal">
      <formula>"Moderado"</formula>
    </cfRule>
    <cfRule type="cellIs" dxfId="111" priority="105" operator="equal">
      <formula>"Bajo"</formula>
    </cfRule>
  </conditionalFormatting>
  <conditionalFormatting sqref="AB96">
    <cfRule type="cellIs" dxfId="110" priority="111" operator="equal">
      <formula>"Muy Alta"</formula>
    </cfRule>
    <cfRule type="cellIs" dxfId="109" priority="112" operator="equal">
      <formula>"Alta"</formula>
    </cfRule>
    <cfRule type="cellIs" dxfId="108" priority="113" operator="equal">
      <formula>"Media"</formula>
    </cfRule>
    <cfRule type="cellIs" dxfId="107" priority="114" operator="equal">
      <formula>"Baja"</formula>
    </cfRule>
    <cfRule type="cellIs" dxfId="106" priority="115" operator="equal">
      <formula>"Muy Baja"</formula>
    </cfRule>
  </conditionalFormatting>
  <conditionalFormatting sqref="AD96">
    <cfRule type="cellIs" dxfId="105" priority="106" operator="equal">
      <formula>"Catastrófico"</formula>
    </cfRule>
    <cfRule type="cellIs" dxfId="104" priority="107" operator="equal">
      <formula>"Mayor"</formula>
    </cfRule>
    <cfRule type="cellIs" dxfId="103" priority="108" operator="equal">
      <formula>"Moderado"</formula>
    </cfRule>
    <cfRule type="cellIs" dxfId="102" priority="109" operator="equal">
      <formula>"Menor"</formula>
    </cfRule>
    <cfRule type="cellIs" dxfId="101" priority="110" operator="equal">
      <formula>"Leve"</formula>
    </cfRule>
  </conditionalFormatting>
  <conditionalFormatting sqref="AB97:AB99">
    <cfRule type="cellIs" dxfId="100" priority="97" operator="equal">
      <formula>"Muy Alta"</formula>
    </cfRule>
    <cfRule type="cellIs" dxfId="99" priority="98" operator="equal">
      <formula>"Alta"</formula>
    </cfRule>
    <cfRule type="cellIs" dxfId="98" priority="99" operator="equal">
      <formula>"Media"</formula>
    </cfRule>
    <cfRule type="cellIs" dxfId="97" priority="100" operator="equal">
      <formula>"Baja"</formula>
    </cfRule>
    <cfRule type="cellIs" dxfId="96" priority="101" operator="equal">
      <formula>"Muy Baja"</formula>
    </cfRule>
  </conditionalFormatting>
  <conditionalFormatting sqref="AD97:AD99">
    <cfRule type="cellIs" dxfId="95" priority="92" operator="equal">
      <formula>"Catastrófico"</formula>
    </cfRule>
    <cfRule type="cellIs" dxfId="94" priority="93" operator="equal">
      <formula>"Mayor"</formula>
    </cfRule>
    <cfRule type="cellIs" dxfId="93" priority="94" operator="equal">
      <formula>"Moderado"</formula>
    </cfRule>
    <cfRule type="cellIs" dxfId="92" priority="95" operator="equal">
      <formula>"Menor"</formula>
    </cfRule>
    <cfRule type="cellIs" dxfId="91" priority="96" operator="equal">
      <formula>"Leve"</formula>
    </cfRule>
  </conditionalFormatting>
  <conditionalFormatting sqref="AF97:AF99">
    <cfRule type="cellIs" dxfId="90" priority="88" operator="equal">
      <formula>"Extremo"</formula>
    </cfRule>
    <cfRule type="cellIs" dxfId="89" priority="89" operator="equal">
      <formula>"Alto"</formula>
    </cfRule>
    <cfRule type="cellIs" dxfId="88" priority="90" operator="equal">
      <formula>"Moderado"</formula>
    </cfRule>
    <cfRule type="cellIs" dxfId="87" priority="91" operator="equal">
      <formula>"Bajo"</formula>
    </cfRule>
  </conditionalFormatting>
  <conditionalFormatting sqref="K97">
    <cfRule type="cellIs" dxfId="86" priority="83" operator="equal">
      <formula>"Muy Alta"</formula>
    </cfRule>
    <cfRule type="cellIs" dxfId="85" priority="84" operator="equal">
      <formula>"Alta"</formula>
    </cfRule>
    <cfRule type="cellIs" dxfId="84" priority="85" operator="equal">
      <formula>"Media"</formula>
    </cfRule>
    <cfRule type="cellIs" dxfId="83" priority="86" operator="equal">
      <formula>"Baja"</formula>
    </cfRule>
    <cfRule type="cellIs" dxfId="82" priority="87" operator="equal">
      <formula>"Muy Baja"</formula>
    </cfRule>
  </conditionalFormatting>
  <conditionalFormatting sqref="O97">
    <cfRule type="cellIs" dxfId="81" priority="78" operator="equal">
      <formula>"Catastrófico"</formula>
    </cfRule>
    <cfRule type="cellIs" dxfId="80" priority="79" operator="equal">
      <formula>"Mayor"</formula>
    </cfRule>
    <cfRule type="cellIs" dxfId="79" priority="80" operator="equal">
      <formula>"Moderado"</formula>
    </cfRule>
    <cfRule type="cellIs" dxfId="78" priority="81" operator="equal">
      <formula>"Menor"</formula>
    </cfRule>
    <cfRule type="cellIs" dxfId="77" priority="82" operator="equal">
      <formula>"Leve"</formula>
    </cfRule>
  </conditionalFormatting>
  <conditionalFormatting sqref="Q97">
    <cfRule type="cellIs" dxfId="76" priority="74" operator="equal">
      <formula>"Extremo"</formula>
    </cfRule>
    <cfRule type="cellIs" dxfId="75" priority="75" operator="equal">
      <formula>"Alto"</formula>
    </cfRule>
    <cfRule type="cellIs" dxfId="74" priority="76" operator="equal">
      <formula>"Moderado"</formula>
    </cfRule>
    <cfRule type="cellIs" dxfId="73" priority="77" operator="equal">
      <formula>"Bajo"</formula>
    </cfRule>
  </conditionalFormatting>
  <conditionalFormatting sqref="N97">
    <cfRule type="containsText" dxfId="72" priority="73" operator="containsText" text="❌">
      <formula>NOT(ISERROR(SEARCH("❌",N97)))</formula>
    </cfRule>
  </conditionalFormatting>
  <conditionalFormatting sqref="AB97:AB99">
    <cfRule type="cellIs" dxfId="71" priority="68" operator="equal">
      <formula>"Muy Alta"</formula>
    </cfRule>
    <cfRule type="cellIs" dxfId="70" priority="69" operator="equal">
      <formula>"Alta"</formula>
    </cfRule>
    <cfRule type="cellIs" dxfId="69" priority="70" operator="equal">
      <formula>"Media"</formula>
    </cfRule>
    <cfRule type="cellIs" dxfId="68" priority="71" operator="equal">
      <formula>"Baja"</formula>
    </cfRule>
    <cfRule type="cellIs" dxfId="67" priority="72" operator="equal">
      <formula>"Muy Baja"</formula>
    </cfRule>
  </conditionalFormatting>
  <conditionalFormatting sqref="AD97:AD99">
    <cfRule type="cellIs" dxfId="66" priority="63" operator="equal">
      <formula>"Catastrófico"</formula>
    </cfRule>
    <cfRule type="cellIs" dxfId="65" priority="64" operator="equal">
      <formula>"Mayor"</formula>
    </cfRule>
    <cfRule type="cellIs" dxfId="64" priority="65" operator="equal">
      <formula>"Moderado"</formula>
    </cfRule>
    <cfRule type="cellIs" dxfId="63" priority="66" operator="equal">
      <formula>"Menor"</formula>
    </cfRule>
    <cfRule type="cellIs" dxfId="62" priority="67" operator="equal">
      <formula>"Leve"</formula>
    </cfRule>
  </conditionalFormatting>
  <conditionalFormatting sqref="AF97:AF99">
    <cfRule type="cellIs" dxfId="61" priority="59" operator="equal">
      <formula>"Extremo"</formula>
    </cfRule>
    <cfRule type="cellIs" dxfId="60" priority="60" operator="equal">
      <formula>"Alto"</formula>
    </cfRule>
    <cfRule type="cellIs" dxfId="59" priority="61" operator="equal">
      <formula>"Moderado"</formula>
    </cfRule>
    <cfRule type="cellIs" dxfId="58" priority="62" operator="equal">
      <formula>"Bajo"</formula>
    </cfRule>
  </conditionalFormatting>
  <conditionalFormatting sqref="N97">
    <cfRule type="containsText" dxfId="57" priority="58" operator="containsText" text="❌">
      <formula>NOT(ISERROR(SEARCH("❌",N97)))</formula>
    </cfRule>
  </conditionalFormatting>
  <conditionalFormatting sqref="AB67">
    <cfRule type="cellIs" dxfId="56" priority="53" operator="equal">
      <formula>"Muy Alta"</formula>
    </cfRule>
    <cfRule type="cellIs" dxfId="55" priority="54" operator="equal">
      <formula>"Alta"</formula>
    </cfRule>
    <cfRule type="cellIs" dxfId="54" priority="55" operator="equal">
      <formula>"Media"</formula>
    </cfRule>
    <cfRule type="cellIs" dxfId="53" priority="56" operator="equal">
      <formula>"Baja"</formula>
    </cfRule>
    <cfRule type="cellIs" dxfId="52" priority="57" operator="equal">
      <formula>"Muy Baja"</formula>
    </cfRule>
  </conditionalFormatting>
  <conditionalFormatting sqref="AD67">
    <cfRule type="cellIs" dxfId="51" priority="48" operator="equal">
      <formula>"Catastrófico"</formula>
    </cfRule>
    <cfRule type="cellIs" dxfId="50" priority="49" operator="equal">
      <formula>"Mayor"</formula>
    </cfRule>
    <cfRule type="cellIs" dxfId="49" priority="50" operator="equal">
      <formula>"Moderado"</formula>
    </cfRule>
    <cfRule type="cellIs" dxfId="48" priority="51" operator="equal">
      <formula>"Menor"</formula>
    </cfRule>
    <cfRule type="cellIs" dxfId="47" priority="52" operator="equal">
      <formula>"Leve"</formula>
    </cfRule>
  </conditionalFormatting>
  <conditionalFormatting sqref="AF67">
    <cfRule type="cellIs" dxfId="46" priority="44" operator="equal">
      <formula>"Extremo"</formula>
    </cfRule>
    <cfRule type="cellIs" dxfId="45" priority="45" operator="equal">
      <formula>"Alto"</formula>
    </cfRule>
    <cfRule type="cellIs" dxfId="44" priority="46" operator="equal">
      <formula>"Moderado"</formula>
    </cfRule>
    <cfRule type="cellIs" dxfId="43" priority="47" operator="equal">
      <formula>"Bajo"</formula>
    </cfRule>
  </conditionalFormatting>
  <conditionalFormatting sqref="AB68">
    <cfRule type="cellIs" dxfId="42" priority="39" operator="equal">
      <formula>"Muy Alta"</formula>
    </cfRule>
    <cfRule type="cellIs" dxfId="41" priority="40" operator="equal">
      <formula>"Alta"</formula>
    </cfRule>
    <cfRule type="cellIs" dxfId="40" priority="41" operator="equal">
      <formula>"Media"</formula>
    </cfRule>
    <cfRule type="cellIs" dxfId="39" priority="42" operator="equal">
      <formula>"Baja"</formula>
    </cfRule>
    <cfRule type="cellIs" dxfId="38" priority="43" operator="equal">
      <formula>"Muy Baja"</formula>
    </cfRule>
  </conditionalFormatting>
  <conditionalFormatting sqref="AD68">
    <cfRule type="cellIs" dxfId="37" priority="34" operator="equal">
      <formula>"Catastrófico"</formula>
    </cfRule>
    <cfRule type="cellIs" dxfId="36" priority="35" operator="equal">
      <formula>"Mayor"</formula>
    </cfRule>
    <cfRule type="cellIs" dxfId="35" priority="36" operator="equal">
      <formula>"Moderado"</formula>
    </cfRule>
    <cfRule type="cellIs" dxfId="34" priority="37" operator="equal">
      <formula>"Menor"</formula>
    </cfRule>
    <cfRule type="cellIs" dxfId="33" priority="38" operator="equal">
      <formula>"Leve"</formula>
    </cfRule>
  </conditionalFormatting>
  <conditionalFormatting sqref="AF68">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B69">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D69">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F69">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K67">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O67">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Q67">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N67:N69">
    <cfRule type="containsText" dxfId="0" priority="1" operator="containsText" text="❌">
      <formula>NOT(ISERROR(SEARCH("❌",N67)))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'Opciones Tratamiento'!$B$9:$B$10</xm:f>
          </x14:formula1>
          <xm:sqref>AM7:AM12 AM127:AM150 AM16:AM119</xm:sqref>
        </x14:dataValidation>
        <x14:dataValidation type="list" allowBlank="1" showInputMessage="1" showErrorMessage="1">
          <x14:formula1>
            <xm:f>'Opciones Tratamiento'!$B$13:$B$19</xm:f>
          </x14:formula1>
          <xm:sqref>I7 I10 I13 I100 I16 I19 I22 I25 I28 I31 I34 I37 I40 I43 I46 I49 I52 I103 I55 I58 I61 I64 I70 I73 I76 I79 I85 I88 I91 I94:I95 I136 I121 I106 I109 I112 I115 I118 I124 I127 I130 I133 I139 I142 I145 I148 I82 I67</xm:sqref>
        </x14:dataValidation>
        <x14:dataValidation type="list" allowBlank="1" showInputMessage="1" showErrorMessage="1">
          <x14:formula1>
            <xm:f>'Opciones Tratamiento'!$E$2:$E$4</xm:f>
          </x14:formula1>
          <xm:sqref>E7 E10 E13 E100 E16 E19 E22 E25 E28 E31 E34 E37 E40 E43 E46 E49 E52 E103 E55 E58 E61 E64 E70 E73 E76 E79 E85 E88 E91 E94:E95 E136 E121 E106 E109 E112 E115 E118 E124 E127 E130 E133 E139 E142 E145 E148 E82 E67</xm:sqref>
        </x14:dataValidation>
        <x14:dataValidation type="list" allowBlank="1" showInputMessage="1" showErrorMessage="1">
          <x14:formula1>
            <xm:f>'Tabla Impacto'!$F$210:$F$221</xm:f>
          </x14:formula1>
          <xm:sqref>M7 M10 M13 M145 M16 M19 M22 M25 M28 M31 M34 M37 M40 M43 M46 M49 M52 M148 M55 M58 M61 M64 M70 M139 M142 M73 M76 M79 M82 M85 M88 M91 M94:M95 M136 M100 M103 M106 M109 M112 M115 M118 M121 M124 M127 M130 M133 M67</xm:sqref>
        </x14:dataValidation>
        <x14:dataValidation type="list" allowBlank="1" showInputMessage="1" showErrorMessage="1">
          <x14:formula1>
            <xm:f>'Tabla Valoración controles'!$D$4:$D$6</xm:f>
          </x14:formula1>
          <xm:sqref>U100:U150 U7:U95</xm:sqref>
        </x14:dataValidation>
        <x14:dataValidation type="list" allowBlank="1" showInputMessage="1" showErrorMessage="1">
          <x14:formula1>
            <xm:f>'Tabla Valoración controles'!$D$7:$D$8</xm:f>
          </x14:formula1>
          <xm:sqref>V100:V150 V7:V95</xm:sqref>
        </x14:dataValidation>
        <x14:dataValidation type="list" allowBlank="1" showInputMessage="1" showErrorMessage="1">
          <x14:formula1>
            <xm:f>'Tabla Valoración controles'!$D$9:$D$10</xm:f>
          </x14:formula1>
          <xm:sqref>X100:X150 X7:X95</xm:sqref>
        </x14:dataValidation>
        <x14:dataValidation type="list" allowBlank="1" showInputMessage="1" showErrorMessage="1">
          <x14:formula1>
            <xm:f>'Tabla Valoración controles'!$D$11:$D$12</xm:f>
          </x14:formula1>
          <xm:sqref>Y100:Y150 Y7:Y95</xm:sqref>
        </x14:dataValidation>
        <x14:dataValidation type="list" allowBlank="1" showInputMessage="1" showErrorMessage="1">
          <x14:formula1>
            <xm:f>'Tabla Valoración controles'!$D$13:$D$14</xm:f>
          </x14:formula1>
          <xm:sqref>Z100:Z150 Z7:Z95</xm:sqref>
        </x14:dataValidation>
        <x14:dataValidation type="list" allowBlank="1" showInputMessage="1" showErrorMessage="1">
          <x14:formula1>
            <xm:f>'Opciones Tratamiento'!$B$2:$B$5</xm:f>
          </x14:formula1>
          <xm:sqref>AG100:AG150 AG7:AG95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topLeftCell="E1" zoomScale="40" zoomScaleNormal="40" workbookViewId="0">
      <selection activeCell="AJ64" sqref="AJ64:AK65"/>
    </sheetView>
  </sheetViews>
  <sheetFormatPr baseColWidth="10" defaultRowHeight="14.5" x14ac:dyDescent="0.35"/>
  <cols>
    <col min="2" max="9" width="5.7265625" customWidth="1"/>
    <col min="10" max="59" width="8.7265625" customWidth="1"/>
    <col min="61" max="65" width="5.7265625" customWidth="1"/>
    <col min="66" max="66" width="20.7265625" customWidth="1"/>
  </cols>
  <sheetData>
    <row r="1" spans="1:119" x14ac:dyDescent="0.3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row>
    <row r="2" spans="1:119" ht="18" customHeight="1" x14ac:dyDescent="0.35">
      <c r="A2" s="56"/>
      <c r="B2" s="464" t="s">
        <v>135</v>
      </c>
      <c r="C2" s="464"/>
      <c r="D2" s="464"/>
      <c r="E2" s="464"/>
      <c r="F2" s="464"/>
      <c r="G2" s="464"/>
      <c r="H2" s="464"/>
      <c r="I2" s="464"/>
      <c r="J2" s="306" t="s">
        <v>2</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row>
    <row r="3" spans="1:119" ht="18.75" customHeight="1" x14ac:dyDescent="0.35">
      <c r="A3" s="56"/>
      <c r="B3" s="464"/>
      <c r="C3" s="464"/>
      <c r="D3" s="464"/>
      <c r="E3" s="464"/>
      <c r="F3" s="464"/>
      <c r="G3" s="464"/>
      <c r="H3" s="464"/>
      <c r="I3" s="464"/>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row>
    <row r="4" spans="1:119" ht="15" customHeight="1" x14ac:dyDescent="0.35">
      <c r="A4" s="56"/>
      <c r="B4" s="464"/>
      <c r="C4" s="464"/>
      <c r="D4" s="464"/>
      <c r="E4" s="464"/>
      <c r="F4" s="464"/>
      <c r="G4" s="464"/>
      <c r="H4" s="464"/>
      <c r="I4" s="464"/>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306"/>
      <c r="BD4" s="306"/>
      <c r="BE4" s="306"/>
      <c r="BF4" s="306"/>
      <c r="BG4" s="30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row>
    <row r="5" spans="1:119" ht="15" thickBo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row>
    <row r="6" spans="1:119" ht="15" customHeight="1" x14ac:dyDescent="0.35">
      <c r="A6" s="56"/>
      <c r="B6" s="307" t="s">
        <v>4</v>
      </c>
      <c r="C6" s="307"/>
      <c r="D6" s="308"/>
      <c r="E6" s="465" t="s">
        <v>107</v>
      </c>
      <c r="F6" s="466"/>
      <c r="G6" s="466"/>
      <c r="H6" s="466"/>
      <c r="I6" s="467"/>
      <c r="J6" s="475" t="str">
        <f>IF(AND('Mapa final'!$K$7="Muy Alta",'Mapa final'!$O$7="Leve"),CONCATENATE("R",'Mapa final'!$A$7),"")</f>
        <v/>
      </c>
      <c r="K6" s="476"/>
      <c r="L6" s="476" t="str">
        <f>IF(AND('Mapa final'!$K$10="Muy Alta",'Mapa final'!$O$10="Leve"),CONCATENATE("R",'Mapa final'!$A$10),"")</f>
        <v/>
      </c>
      <c r="M6" s="476"/>
      <c r="N6" s="476" t="str">
        <f>IF(AND('Mapa final'!$K$13="Muy Alta",'Mapa final'!$O$13="Leve"),CONCATENATE("R",'Mapa final'!$A$13),"")</f>
        <v/>
      </c>
      <c r="O6" s="476"/>
      <c r="P6" s="476" t="e">
        <f>IF(AND('Mapa final'!#REF!="Muy Alta",'Mapa final'!#REF!="Leve"),CONCATENATE("R",'Mapa final'!#REF!),"")</f>
        <v>#REF!</v>
      </c>
      <c r="Q6" s="476"/>
      <c r="R6" s="476" t="e">
        <f>IF(AND('Mapa final'!#REF!="Muy Alta",'Mapa final'!#REF!="Leve"),CONCATENATE("R",'Mapa final'!#REF!),"")</f>
        <v>#REF!</v>
      </c>
      <c r="S6" s="476"/>
      <c r="T6" s="494" t="str">
        <f>IF(AND('Mapa final'!$K$7="Muy Alta",'Mapa final'!$O$7="Menor"),CONCATENATE("R",'Mapa final'!$A$7),"")</f>
        <v/>
      </c>
      <c r="U6" s="495"/>
      <c r="V6" s="495" t="str">
        <f>IF(AND('Mapa final'!$K$10="Muy Alta",'Mapa final'!$O$10="Menor"),CONCATENATE("R",'Mapa final'!$A$10),"")</f>
        <v/>
      </c>
      <c r="W6" s="495"/>
      <c r="X6" s="495" t="str">
        <f>IF(AND('Mapa final'!$K$13="Muy Alta",'Mapa final'!$O$13="Menor"),CONCATENATE("R",'Mapa final'!$A$13),"")</f>
        <v/>
      </c>
      <c r="Y6" s="495"/>
      <c r="Z6" s="495" t="e">
        <f>IF(AND('Mapa final'!#REF!="Muy Alta",'Mapa final'!#REF!="Menor"),CONCATENATE("R",'Mapa final'!#REF!),"")</f>
        <v>#REF!</v>
      </c>
      <c r="AA6" s="495"/>
      <c r="AB6" s="495" t="e">
        <f>IF(AND('Mapa final'!#REF!="Muy Alta",'Mapa final'!#REF!="Menor"),CONCATENATE("R",'Mapa final'!#REF!),"")</f>
        <v>#REF!</v>
      </c>
      <c r="AC6" s="496"/>
      <c r="AD6" s="494" t="str">
        <f>IF(AND('Mapa final'!$K$7="Muy Alta",'Mapa final'!$O$7="Moderado"),CONCATENATE("R",'Mapa final'!$A$7),"")</f>
        <v/>
      </c>
      <c r="AE6" s="495"/>
      <c r="AF6" s="495" t="str">
        <f>IF(AND('Mapa final'!$K$10="Muy Alta",'Mapa final'!$O$10="Moderado"),CONCATENATE("R",'Mapa final'!$A$10),"")</f>
        <v/>
      </c>
      <c r="AG6" s="495"/>
      <c r="AH6" s="495" t="str">
        <f>IF(AND('Mapa final'!$K$13="Muy Alta",'Mapa final'!$O$13="Moderado"),CONCATENATE("R",'Mapa final'!$A$13),"")</f>
        <v/>
      </c>
      <c r="AI6" s="495"/>
      <c r="AJ6" s="495" t="e">
        <f>IF(AND('Mapa final'!#REF!="Muy Alta",'Mapa final'!#REF!="Moderado"),CONCATENATE("R",'Mapa final'!#REF!),"")</f>
        <v>#REF!</v>
      </c>
      <c r="AK6" s="495"/>
      <c r="AL6" s="495" t="e">
        <f>IF(AND('Mapa final'!#REF!="Muy Alta",'Mapa final'!#REF!="Moderado"),CONCATENATE("R",'Mapa final'!#REF!),"")</f>
        <v>#REF!</v>
      </c>
      <c r="AM6" s="496"/>
      <c r="AN6" s="494" t="str">
        <f>IF(AND('Mapa final'!$K$7="Muy Alta",'Mapa final'!$O$7="Mayor"),CONCATENATE("R",'Mapa final'!$A$7),"")</f>
        <v/>
      </c>
      <c r="AO6" s="495"/>
      <c r="AP6" s="495" t="str">
        <f>IF(AND('Mapa final'!$K$10="Muy Alta",'Mapa final'!$O$10="Mayor"),CONCATENATE("R",'Mapa final'!$A$10),"")</f>
        <v/>
      </c>
      <c r="AQ6" s="495"/>
      <c r="AR6" s="495" t="str">
        <f>IF(AND('Mapa final'!$K$13="Muy Alta",'Mapa final'!$O$13="Mayor"),CONCATENATE("R",'Mapa final'!$A$13),"")</f>
        <v/>
      </c>
      <c r="AS6" s="495"/>
      <c r="AT6" s="495" t="e">
        <f>IF(AND('Mapa final'!#REF!="Muy Alta",'Mapa final'!#REF!="Mayor"),CONCATENATE("R",'Mapa final'!#REF!),"")</f>
        <v>#REF!</v>
      </c>
      <c r="AU6" s="495"/>
      <c r="AV6" s="495" t="e">
        <f>IF(AND('Mapa final'!#REF!="Muy Alta",'Mapa final'!#REF!="Mayor"),CONCATENATE("R",'Mapa final'!#REF!),"")</f>
        <v>#REF!</v>
      </c>
      <c r="AW6" s="496"/>
      <c r="AX6" s="486" t="str">
        <f>IF(AND('Mapa final'!$K$7="Muy Alta",'Mapa final'!$O$7="Catastrófico"),CONCATENATE("R",'Mapa final'!$A$7),"")</f>
        <v/>
      </c>
      <c r="AY6" s="487"/>
      <c r="AZ6" s="487" t="str">
        <f>IF(AND('Mapa final'!$K$10="Muy Alta",'Mapa final'!$O$10="Catastrófico"),CONCATENATE("R",'Mapa final'!$A$10),"")</f>
        <v/>
      </c>
      <c r="BA6" s="487"/>
      <c r="BB6" s="487" t="str">
        <f>IF(AND('Mapa final'!$K$13="Muy Alta",'Mapa final'!$O$13="Catastrófico"),CONCATENATE("R",'Mapa final'!$A$13),"")</f>
        <v/>
      </c>
      <c r="BC6" s="487"/>
      <c r="BD6" s="487" t="e">
        <f>IF(AND('Mapa final'!#REF!="Muy Alta",'Mapa final'!#REF!="Catastrófico"),CONCATENATE("R",'Mapa final'!#REF!),"")</f>
        <v>#REF!</v>
      </c>
      <c r="BE6" s="487"/>
      <c r="BF6" s="487" t="e">
        <f>IF(AND('Mapa final'!#REF!="Muy Alta",'Mapa final'!#REF!="Catastrófico"),CONCATENATE("R",'Mapa final'!#REF!),"")</f>
        <v>#REF!</v>
      </c>
      <c r="BG6" s="488"/>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row>
    <row r="7" spans="1:119" ht="15" customHeight="1" x14ac:dyDescent="0.35">
      <c r="A7" s="56"/>
      <c r="B7" s="307"/>
      <c r="C7" s="307"/>
      <c r="D7" s="308"/>
      <c r="E7" s="468"/>
      <c r="F7" s="469"/>
      <c r="G7" s="469"/>
      <c r="H7" s="469"/>
      <c r="I7" s="470"/>
      <c r="J7" s="477"/>
      <c r="K7" s="450"/>
      <c r="L7" s="450"/>
      <c r="M7" s="450"/>
      <c r="N7" s="450"/>
      <c r="O7" s="450"/>
      <c r="P7" s="450"/>
      <c r="Q7" s="450"/>
      <c r="R7" s="450"/>
      <c r="S7" s="450"/>
      <c r="T7" s="491"/>
      <c r="U7" s="450"/>
      <c r="V7" s="450"/>
      <c r="W7" s="450"/>
      <c r="X7" s="450"/>
      <c r="Y7" s="450"/>
      <c r="Z7" s="450"/>
      <c r="AA7" s="450"/>
      <c r="AB7" s="450"/>
      <c r="AC7" s="490"/>
      <c r="AD7" s="491"/>
      <c r="AE7" s="450"/>
      <c r="AF7" s="450"/>
      <c r="AG7" s="450"/>
      <c r="AH7" s="450"/>
      <c r="AI7" s="450"/>
      <c r="AJ7" s="450"/>
      <c r="AK7" s="450"/>
      <c r="AL7" s="450"/>
      <c r="AM7" s="490"/>
      <c r="AN7" s="491"/>
      <c r="AO7" s="450"/>
      <c r="AP7" s="450"/>
      <c r="AQ7" s="450"/>
      <c r="AR7" s="450"/>
      <c r="AS7" s="450"/>
      <c r="AT7" s="450"/>
      <c r="AU7" s="450"/>
      <c r="AV7" s="450"/>
      <c r="AW7" s="490"/>
      <c r="AX7" s="482"/>
      <c r="AY7" s="480"/>
      <c r="AZ7" s="480"/>
      <c r="BA7" s="480"/>
      <c r="BB7" s="480"/>
      <c r="BC7" s="480"/>
      <c r="BD7" s="480"/>
      <c r="BE7" s="480"/>
      <c r="BF7" s="480"/>
      <c r="BG7" s="481"/>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row>
    <row r="8" spans="1:119" ht="15" customHeight="1" x14ac:dyDescent="0.35">
      <c r="A8" s="56"/>
      <c r="B8" s="307"/>
      <c r="C8" s="307"/>
      <c r="D8" s="308"/>
      <c r="E8" s="468"/>
      <c r="F8" s="469"/>
      <c r="G8" s="469"/>
      <c r="H8" s="469"/>
      <c r="I8" s="470"/>
      <c r="J8" s="477" t="str">
        <f>IF(AND('Mapa final'!$K$16="Muy Alta",'Mapa final'!$O$16="Leve"),CONCATENATE("R",'Mapa final'!$A$16),"")</f>
        <v/>
      </c>
      <c r="K8" s="450"/>
      <c r="L8" s="450" t="str">
        <f>IF(AND('Mapa final'!$K$19="Muy Alta",'Mapa final'!$O$19="Leve"),CONCATENATE("R",'Mapa final'!$A$19),"")</f>
        <v/>
      </c>
      <c r="M8" s="450"/>
      <c r="N8" s="450" t="str">
        <f>IF(AND('Mapa final'!$K$22="Muy Alta",'Mapa final'!$O$22="Leve"),CONCATENATE("R",'Mapa final'!$A$22),"")</f>
        <v/>
      </c>
      <c r="O8" s="450"/>
      <c r="P8" s="450" t="str">
        <f>IF(AND('Mapa final'!$K$25="Muy Alta",'Mapa final'!$O$25="Leve"),CONCATENATE("R",'Mapa final'!$A$25),"")</f>
        <v/>
      </c>
      <c r="Q8" s="450"/>
      <c r="R8" s="450" t="str">
        <f>IF(AND('Mapa final'!$K$28="Muy Alta",'Mapa final'!$O$28="Leve"),CONCATENATE("R",'Mapa final'!$A$28),"")</f>
        <v/>
      </c>
      <c r="S8" s="450"/>
      <c r="T8" s="491" t="str">
        <f>IF(AND('Mapa final'!$K$16="Muy Alta",'Mapa final'!$O$16="Menor"),CONCATENATE("R",'Mapa final'!$A$16),"")</f>
        <v/>
      </c>
      <c r="U8" s="450"/>
      <c r="V8" s="450" t="str">
        <f>IF(AND('Mapa final'!$K$19="Muy Alta",'Mapa final'!$O$19="Menor"),CONCATENATE("R",'Mapa final'!$A$19),"")</f>
        <v/>
      </c>
      <c r="W8" s="450"/>
      <c r="X8" s="450" t="str">
        <f>IF(AND('Mapa final'!$K$22="Muy Alta",'Mapa final'!$O$22="Menor"),CONCATENATE("R",'Mapa final'!$A$22),"")</f>
        <v/>
      </c>
      <c r="Y8" s="450"/>
      <c r="Z8" s="450" t="str">
        <f>IF(AND('Mapa final'!$K$25="Muy Alta",'Mapa final'!$O$25="Menor"),CONCATENATE("R",'Mapa final'!$A$25),"")</f>
        <v/>
      </c>
      <c r="AA8" s="450"/>
      <c r="AB8" s="450" t="str">
        <f>IF(AND('Mapa final'!$K$28="Muy Alta",'Mapa final'!$O$28="Menor"),CONCATENATE("R",'Mapa final'!$A$28),"")</f>
        <v/>
      </c>
      <c r="AC8" s="490"/>
      <c r="AD8" s="491" t="str">
        <f>IF(AND('Mapa final'!$K$16="Muy Alta",'Mapa final'!$O$16="Moderado"),CONCATENATE("R",'Mapa final'!$A$16),"")</f>
        <v/>
      </c>
      <c r="AE8" s="450"/>
      <c r="AF8" s="450" t="str">
        <f>IF(AND('Mapa final'!$K$19="Muy Alta",'Mapa final'!$O$19="Moderado"),CONCATENATE("R",'Mapa final'!$A$19),"")</f>
        <v/>
      </c>
      <c r="AG8" s="450"/>
      <c r="AH8" s="450" t="str">
        <f>IF(AND('Mapa final'!$K$22="Muy Alta",'Mapa final'!$O$22="Moderado"),CONCATENATE("R",'Mapa final'!$A$22),"")</f>
        <v/>
      </c>
      <c r="AI8" s="450"/>
      <c r="AJ8" s="450" t="str">
        <f>IF(AND('Mapa final'!$K$25="Muy Alta",'Mapa final'!$O$25="Moderado"),CONCATENATE("R",'Mapa final'!$A$25),"")</f>
        <v/>
      </c>
      <c r="AK8" s="450"/>
      <c r="AL8" s="450" t="str">
        <f>IF(AND('Mapa final'!$K$28="Muy Alta",'Mapa final'!$O$28="Moderado"),CONCATENATE("R",'Mapa final'!$A$28),"")</f>
        <v/>
      </c>
      <c r="AM8" s="490"/>
      <c r="AN8" s="491" t="str">
        <f>IF(AND('Mapa final'!$K$16="Muy Alta",'Mapa final'!$O$16="Mayor"),CONCATENATE("R",'Mapa final'!$A$16),"")</f>
        <v/>
      </c>
      <c r="AO8" s="450"/>
      <c r="AP8" s="450" t="str">
        <f>IF(AND('Mapa final'!$K$19="Muy Alta",'Mapa final'!$O$19="Mayor"),CONCATENATE("R",'Mapa final'!$A$19),"")</f>
        <v/>
      </c>
      <c r="AQ8" s="450"/>
      <c r="AR8" s="450" t="str">
        <f>IF(AND('Mapa final'!$K$22="Muy Alta",'Mapa final'!$O$22="Mayor"),CONCATENATE("R",'Mapa final'!$A$22),"")</f>
        <v/>
      </c>
      <c r="AS8" s="450"/>
      <c r="AT8" s="450" t="str">
        <f>IF(AND('Mapa final'!$K$25="Muy Alta",'Mapa final'!$O$25="Mayor"),CONCATENATE("R",'Mapa final'!$A$25),"")</f>
        <v/>
      </c>
      <c r="AU8" s="450"/>
      <c r="AV8" s="450" t="str">
        <f>IF(AND('Mapa final'!$K$28="Muy Alta",'Mapa final'!$O$28="Mayor"),CONCATENATE("R",'Mapa final'!$A$28),"")</f>
        <v/>
      </c>
      <c r="AW8" s="490"/>
      <c r="AX8" s="482" t="str">
        <f>IF(AND('Mapa final'!$K$16="Muy Alta",'Mapa final'!$O$16="Catastrófico"),CONCATENATE("R",'Mapa final'!$A$16),"")</f>
        <v/>
      </c>
      <c r="AY8" s="480"/>
      <c r="AZ8" s="480" t="str">
        <f>IF(AND('Mapa final'!$K$19="Muy Alta",'Mapa final'!$O$19="Catastrófico"),CONCATENATE("R",'Mapa final'!$A$19),"")</f>
        <v/>
      </c>
      <c r="BA8" s="480"/>
      <c r="BB8" s="480" t="str">
        <f>IF(AND('Mapa final'!$K$22="Muy Alta",'Mapa final'!$O$22="Catastrófico"),CONCATENATE("R",'Mapa final'!$A$22),"")</f>
        <v/>
      </c>
      <c r="BC8" s="480"/>
      <c r="BD8" s="480" t="str">
        <f>IF(AND('Mapa final'!$K$25="Muy Alta",'Mapa final'!$O$25="Catastrófico"),CONCATENATE("R",'Mapa final'!$A$25),"")</f>
        <v/>
      </c>
      <c r="BE8" s="480"/>
      <c r="BF8" s="480" t="str">
        <f>IF(AND('Mapa final'!$K$28="Muy Alta",'Mapa final'!$O$28="Catastrófico"),CONCATENATE("R",'Mapa final'!$A$28),"")</f>
        <v/>
      </c>
      <c r="BG8" s="481"/>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row>
    <row r="9" spans="1:119" ht="15" customHeight="1" x14ac:dyDescent="0.35">
      <c r="A9" s="56"/>
      <c r="B9" s="307"/>
      <c r="C9" s="307"/>
      <c r="D9" s="308"/>
      <c r="E9" s="468"/>
      <c r="F9" s="469"/>
      <c r="G9" s="469"/>
      <c r="H9" s="469"/>
      <c r="I9" s="470"/>
      <c r="J9" s="477"/>
      <c r="K9" s="450"/>
      <c r="L9" s="450"/>
      <c r="M9" s="450"/>
      <c r="N9" s="450"/>
      <c r="O9" s="450"/>
      <c r="P9" s="450"/>
      <c r="Q9" s="450"/>
      <c r="R9" s="450"/>
      <c r="S9" s="450"/>
      <c r="T9" s="491"/>
      <c r="U9" s="450"/>
      <c r="V9" s="450"/>
      <c r="W9" s="450"/>
      <c r="X9" s="450"/>
      <c r="Y9" s="450"/>
      <c r="Z9" s="450"/>
      <c r="AA9" s="450"/>
      <c r="AB9" s="450"/>
      <c r="AC9" s="490"/>
      <c r="AD9" s="491"/>
      <c r="AE9" s="450"/>
      <c r="AF9" s="450"/>
      <c r="AG9" s="450"/>
      <c r="AH9" s="450"/>
      <c r="AI9" s="450"/>
      <c r="AJ9" s="450"/>
      <c r="AK9" s="450"/>
      <c r="AL9" s="450"/>
      <c r="AM9" s="490"/>
      <c r="AN9" s="491"/>
      <c r="AO9" s="450"/>
      <c r="AP9" s="450"/>
      <c r="AQ9" s="450"/>
      <c r="AR9" s="450"/>
      <c r="AS9" s="450"/>
      <c r="AT9" s="450"/>
      <c r="AU9" s="450"/>
      <c r="AV9" s="450"/>
      <c r="AW9" s="490"/>
      <c r="AX9" s="482"/>
      <c r="AY9" s="480"/>
      <c r="AZ9" s="480"/>
      <c r="BA9" s="480"/>
      <c r="BB9" s="480"/>
      <c r="BC9" s="480"/>
      <c r="BD9" s="480"/>
      <c r="BE9" s="480"/>
      <c r="BF9" s="480"/>
      <c r="BG9" s="481"/>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row>
    <row r="10" spans="1:119" ht="15" customHeight="1" x14ac:dyDescent="0.35">
      <c r="A10" s="56"/>
      <c r="B10" s="307"/>
      <c r="C10" s="307"/>
      <c r="D10" s="308"/>
      <c r="E10" s="468"/>
      <c r="F10" s="469"/>
      <c r="G10" s="469"/>
      <c r="H10" s="469"/>
      <c r="I10" s="470"/>
      <c r="J10" s="477" t="str">
        <f>IF(AND('Mapa final'!$K$31="Muy Alta",'Mapa final'!$O$31="Leve"),CONCATENATE("R",'Mapa final'!$A$31),"")</f>
        <v/>
      </c>
      <c r="K10" s="450"/>
      <c r="L10" s="450" t="str">
        <f>IF(AND('Mapa final'!$K$34="Muy Alta",'Mapa final'!$O$34="Leve"),CONCATENATE("R",'Mapa final'!$A$34),"")</f>
        <v/>
      </c>
      <c r="M10" s="450"/>
      <c r="N10" s="450" t="str">
        <f>IF(AND('Mapa final'!$K$37="Muy Alta",'Mapa final'!$O$37="Leve"),CONCATENATE("R",'Mapa final'!$A$37),"")</f>
        <v/>
      </c>
      <c r="O10" s="450"/>
      <c r="P10" s="450" t="str">
        <f>IF(AND('Mapa final'!$K$40="Muy Alta",'Mapa final'!$O$40="Leve"),CONCATENATE("R",'Mapa final'!$A$40),"")</f>
        <v/>
      </c>
      <c r="Q10" s="450"/>
      <c r="R10" s="450" t="str">
        <f>IF(AND('Mapa final'!$K$43="Muy Alta",'Mapa final'!$O$43="Leve"),CONCATENATE("R",'Mapa final'!$A$43),"")</f>
        <v/>
      </c>
      <c r="S10" s="450"/>
      <c r="T10" s="491" t="str">
        <f>IF(AND('Mapa final'!$K$31="Muy Alta",'Mapa final'!$O$31="Menor"),CONCATENATE("R",'Mapa final'!$A$31),"")</f>
        <v/>
      </c>
      <c r="U10" s="450"/>
      <c r="V10" s="450" t="str">
        <f>IF(AND('Mapa final'!$K$34="Muy Alta",'Mapa final'!$O$34="Menor"),CONCATENATE("R",'Mapa final'!$A$34),"")</f>
        <v/>
      </c>
      <c r="W10" s="450"/>
      <c r="X10" s="450" t="str">
        <f>IF(AND('Mapa final'!$K$37="Muy Alta",'Mapa final'!$O$37="Menor"),CONCATENATE("R",'Mapa final'!$A$37),"")</f>
        <v/>
      </c>
      <c r="Y10" s="450"/>
      <c r="Z10" s="450" t="str">
        <f>IF(AND('Mapa final'!$K$40="Muy Alta",'Mapa final'!$O$40="Menor"),CONCATENATE("R",'Mapa final'!$A$40),"")</f>
        <v/>
      </c>
      <c r="AA10" s="450"/>
      <c r="AB10" s="450" t="str">
        <f>IF(AND('Mapa final'!$K$43="Muy Alta",'Mapa final'!$O$43="Menor"),CONCATENATE("R",'Mapa final'!$A$43),"")</f>
        <v/>
      </c>
      <c r="AC10" s="490"/>
      <c r="AD10" s="491" t="str">
        <f>IF(AND('Mapa final'!$K$31="Muy Alta",'Mapa final'!$O$31="Moderado"),CONCATENATE("R",'Mapa final'!$A$31),"")</f>
        <v/>
      </c>
      <c r="AE10" s="450"/>
      <c r="AF10" s="450" t="str">
        <f>IF(AND('Mapa final'!$K$34="Muy Alta",'Mapa final'!$O$34="Moderado"),CONCATENATE("R",'Mapa final'!$A$34),"")</f>
        <v/>
      </c>
      <c r="AG10" s="450"/>
      <c r="AH10" s="450" t="str">
        <f>IF(AND('Mapa final'!$K$37="Muy Alta",'Mapa final'!$O$37="Moderado"),CONCATENATE("R",'Mapa final'!$A$37),"")</f>
        <v/>
      </c>
      <c r="AI10" s="450"/>
      <c r="AJ10" s="450" t="str">
        <f>IF(AND('Mapa final'!$K$40="Muy Alta",'Mapa final'!$O$40="Moderado"),CONCATENATE("R",'Mapa final'!$A$40),"")</f>
        <v/>
      </c>
      <c r="AK10" s="450"/>
      <c r="AL10" s="450" t="str">
        <f>IF(AND('Mapa final'!$K$43="Muy Alta",'Mapa final'!$O$43="Moderado"),CONCATENATE("R",'Mapa final'!$A$43),"")</f>
        <v/>
      </c>
      <c r="AM10" s="490"/>
      <c r="AN10" s="491" t="str">
        <f>IF(AND('Mapa final'!$K$31="Muy Alta",'Mapa final'!$O$31="Mayor"),CONCATENATE("R",'Mapa final'!$A$31),"")</f>
        <v/>
      </c>
      <c r="AO10" s="450"/>
      <c r="AP10" s="450" t="str">
        <f>IF(AND('Mapa final'!$K$34="Muy Alta",'Mapa final'!$O$34="Mayor"),CONCATENATE("R",'Mapa final'!$A$34),"")</f>
        <v/>
      </c>
      <c r="AQ10" s="450"/>
      <c r="AR10" s="450" t="str">
        <f>IF(AND('Mapa final'!$K$37="Muy Alta",'Mapa final'!$O$37="Mayor"),CONCATENATE("R",'Mapa final'!$A$37),"")</f>
        <v/>
      </c>
      <c r="AS10" s="450"/>
      <c r="AT10" s="450" t="str">
        <f>IF(AND('Mapa final'!$K$40="Muy Alta",'Mapa final'!$O$40="Mayor"),CONCATENATE("R",'Mapa final'!$A$40),"")</f>
        <v/>
      </c>
      <c r="AU10" s="450"/>
      <c r="AV10" s="450" t="str">
        <f>IF(AND('Mapa final'!$K$43="Muy Alta",'Mapa final'!$O$43="Mayor"),CONCATENATE("R",'Mapa final'!$A$43),"")</f>
        <v/>
      </c>
      <c r="AW10" s="490"/>
      <c r="AX10" s="482" t="str">
        <f>IF(AND('Mapa final'!$K$31="Muy Alta",'Mapa final'!$O$31="Catastrófico"),CONCATENATE("R",'Mapa final'!$A$31),"")</f>
        <v/>
      </c>
      <c r="AY10" s="480"/>
      <c r="AZ10" s="480" t="str">
        <f>IF(AND('Mapa final'!$K$34="Muy Alta",'Mapa final'!$O$34="Catastrófico"),CONCATENATE("R",'Mapa final'!$A$34),"")</f>
        <v/>
      </c>
      <c r="BA10" s="480"/>
      <c r="BB10" s="480" t="str">
        <f>IF(AND('Mapa final'!$K$37="Muy Alta",'Mapa final'!$O$37="Catastrófico"),CONCATENATE("R",'Mapa final'!$A$37),"")</f>
        <v/>
      </c>
      <c r="BC10" s="480"/>
      <c r="BD10" s="480" t="str">
        <f>IF(AND('Mapa final'!$K$40="Muy Alta",'Mapa final'!$O$40="Catastrófico"),CONCATENATE("R",'Mapa final'!$A$40),"")</f>
        <v/>
      </c>
      <c r="BE10" s="480"/>
      <c r="BF10" s="480" t="str">
        <f>IF(AND('Mapa final'!$K$43="Muy Alta",'Mapa final'!$O$43="Catastrófico"),CONCATENATE("R",'Mapa final'!$A$43),"")</f>
        <v/>
      </c>
      <c r="BG10" s="481"/>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row>
    <row r="11" spans="1:119" ht="15" customHeight="1" x14ac:dyDescent="0.35">
      <c r="A11" s="56"/>
      <c r="B11" s="307"/>
      <c r="C11" s="307"/>
      <c r="D11" s="308"/>
      <c r="E11" s="468"/>
      <c r="F11" s="469"/>
      <c r="G11" s="469"/>
      <c r="H11" s="469"/>
      <c r="I11" s="470"/>
      <c r="J11" s="477"/>
      <c r="K11" s="450"/>
      <c r="L11" s="450"/>
      <c r="M11" s="450"/>
      <c r="N11" s="450"/>
      <c r="O11" s="450"/>
      <c r="P11" s="450"/>
      <c r="Q11" s="450"/>
      <c r="R11" s="450"/>
      <c r="S11" s="450"/>
      <c r="T11" s="491"/>
      <c r="U11" s="450"/>
      <c r="V11" s="450"/>
      <c r="W11" s="450"/>
      <c r="X11" s="450"/>
      <c r="Y11" s="450"/>
      <c r="Z11" s="450"/>
      <c r="AA11" s="450"/>
      <c r="AB11" s="450"/>
      <c r="AC11" s="490"/>
      <c r="AD11" s="491"/>
      <c r="AE11" s="450"/>
      <c r="AF11" s="450"/>
      <c r="AG11" s="450"/>
      <c r="AH11" s="450"/>
      <c r="AI11" s="450"/>
      <c r="AJ11" s="450"/>
      <c r="AK11" s="450"/>
      <c r="AL11" s="450"/>
      <c r="AM11" s="490"/>
      <c r="AN11" s="491"/>
      <c r="AO11" s="450"/>
      <c r="AP11" s="450"/>
      <c r="AQ11" s="450"/>
      <c r="AR11" s="450"/>
      <c r="AS11" s="450"/>
      <c r="AT11" s="450"/>
      <c r="AU11" s="450"/>
      <c r="AV11" s="450"/>
      <c r="AW11" s="490"/>
      <c r="AX11" s="482"/>
      <c r="AY11" s="480"/>
      <c r="AZ11" s="480"/>
      <c r="BA11" s="480"/>
      <c r="BB11" s="480"/>
      <c r="BC11" s="480"/>
      <c r="BD11" s="480"/>
      <c r="BE11" s="480"/>
      <c r="BF11" s="480"/>
      <c r="BG11" s="481"/>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row>
    <row r="12" spans="1:119" ht="15" customHeight="1" x14ac:dyDescent="0.35">
      <c r="A12" s="56"/>
      <c r="B12" s="307"/>
      <c r="C12" s="307"/>
      <c r="D12" s="308"/>
      <c r="E12" s="468"/>
      <c r="F12" s="469"/>
      <c r="G12" s="469"/>
      <c r="H12" s="469"/>
      <c r="I12" s="470"/>
      <c r="J12" s="450" t="str">
        <f>IF(AND('Mapa final'!$K$46="Muy Alta",'Mapa final'!$O$46="Leve"),CONCATENATE("R",'Mapa final'!$A$46),"")</f>
        <v/>
      </c>
      <c r="K12" s="450"/>
      <c r="L12" s="450" t="str">
        <f>IF(AND('Mapa final'!$K$49="Muy Alta",'Mapa final'!$O$49="Leve"),CONCATENATE("R",'Mapa final'!$A$49),"")</f>
        <v/>
      </c>
      <c r="M12" s="450"/>
      <c r="N12" s="450" t="str">
        <f>IF(AND('Mapa final'!$K$52="Muy Alta",'Mapa final'!$O$52="Leve"),CONCATENATE("R",'Mapa final'!$A$52),"")</f>
        <v/>
      </c>
      <c r="O12" s="450"/>
      <c r="P12" s="450" t="str">
        <f>IF(AND('Mapa final'!$K$55="Muy Alta",'Mapa final'!$O$55="Leve"),CONCATENATE("R",'Mapa final'!$A$55),"")</f>
        <v/>
      </c>
      <c r="Q12" s="450"/>
      <c r="R12" s="450" t="str">
        <f>IF(AND('Mapa final'!$K$58="Muy Alta",'Mapa final'!$O$58="Leve"),CONCATENATE("R",'Mapa final'!$A$58),"")</f>
        <v/>
      </c>
      <c r="S12" s="450"/>
      <c r="T12" s="491" t="str">
        <f>IF(AND('Mapa final'!$K$46="Muy Alta",'Mapa final'!$O$46="Menor"),CONCATENATE("R",'Mapa final'!$A$46),"")</f>
        <v/>
      </c>
      <c r="U12" s="450"/>
      <c r="V12" s="450" t="str">
        <f>IF(AND('Mapa final'!$K$49="Muy Alta",'Mapa final'!$O$49="Menor"),CONCATENATE("R",'Mapa final'!$A$49),"")</f>
        <v/>
      </c>
      <c r="W12" s="450"/>
      <c r="X12" s="450" t="str">
        <f>IF(AND('Mapa final'!$K$52="Muy Alta",'Mapa final'!$O$52="Menor"),CONCATENATE("R",'Mapa final'!$A$52),"")</f>
        <v/>
      </c>
      <c r="Y12" s="450"/>
      <c r="Z12" s="450" t="str">
        <f>IF(AND('Mapa final'!$K$55="Muy Alta",'Mapa final'!$O$55="Menor"),CONCATENATE("R",'Mapa final'!$A$55),"")</f>
        <v/>
      </c>
      <c r="AA12" s="450"/>
      <c r="AB12" s="450" t="str">
        <f>IF(AND('Mapa final'!$K$58="Muy Alta",'Mapa final'!$O$58="Menor"),CONCATENATE("R",'Mapa final'!$A$58),"")</f>
        <v/>
      </c>
      <c r="AC12" s="490"/>
      <c r="AD12" s="491" t="str">
        <f>IF(AND('Mapa final'!$K$46="Muy Alta",'Mapa final'!$O$46="Moderado"),CONCATENATE("R",'Mapa final'!$A$46),"")</f>
        <v/>
      </c>
      <c r="AE12" s="450"/>
      <c r="AF12" s="450" t="str">
        <f>IF(AND('Mapa final'!$K$49="Muy Alta",'Mapa final'!$O$49="Moderado"),CONCATENATE("R",'Mapa final'!$A$49),"")</f>
        <v/>
      </c>
      <c r="AG12" s="450"/>
      <c r="AH12" s="450" t="str">
        <f>IF(AND('Mapa final'!$K$52="Muy Alta",'Mapa final'!$O$52="Moderado"),CONCATENATE("R",'Mapa final'!$A$52),"")</f>
        <v/>
      </c>
      <c r="AI12" s="450"/>
      <c r="AJ12" s="450" t="str">
        <f>IF(AND('Mapa final'!$K$55="Muy Alta",'Mapa final'!$O$55="Moderado"),CONCATENATE("R",'Mapa final'!$A$55),"")</f>
        <v/>
      </c>
      <c r="AK12" s="450"/>
      <c r="AL12" s="450" t="str">
        <f>IF(AND('Mapa final'!$K$58="Muy Alta",'Mapa final'!$O$58="Moderado"),CONCATENATE("R",'Mapa final'!$A$58),"")</f>
        <v/>
      </c>
      <c r="AM12" s="490"/>
      <c r="AN12" s="491" t="str">
        <f>IF(AND('Mapa final'!$K$46="Muy Alta",'Mapa final'!$O$46="Mayor"),CONCATENATE("R",'Mapa final'!$A$46),"")</f>
        <v/>
      </c>
      <c r="AO12" s="450"/>
      <c r="AP12" s="450" t="str">
        <f>IF(AND('Mapa final'!$K$49="Muy Alta",'Mapa final'!$O$49="Mayor"),CONCATENATE("R",'Mapa final'!$A$49),"")</f>
        <v>R16</v>
      </c>
      <c r="AQ12" s="450"/>
      <c r="AR12" s="450" t="str">
        <f>IF(AND('Mapa final'!$K$52="Muy Alta",'Mapa final'!$O$52="Mayor"),CONCATENATE("R",'Mapa final'!$A$52),"")</f>
        <v/>
      </c>
      <c r="AS12" s="450"/>
      <c r="AT12" s="450" t="str">
        <f>IF(AND('Mapa final'!$K$55="Muy Alta",'Mapa final'!$O$55="Mayor"),CONCATENATE("R",'Mapa final'!$A$55),"")</f>
        <v/>
      </c>
      <c r="AU12" s="450"/>
      <c r="AV12" s="450" t="str">
        <f>IF(AND('Mapa final'!$K$58="Muy Alta",'Mapa final'!$O$58="Mayor"),CONCATENATE("R",'Mapa final'!$A$58),"")</f>
        <v/>
      </c>
      <c r="AW12" s="490"/>
      <c r="AX12" s="482" t="str">
        <f>IF(AND('Mapa final'!$K$46="Muy Alta",'Mapa final'!$O$46="Catastrófico"),CONCATENATE("R",'Mapa final'!$A$46),"")</f>
        <v/>
      </c>
      <c r="AY12" s="480"/>
      <c r="AZ12" s="480" t="str">
        <f>IF(AND('Mapa final'!$K$49="Muy Alta",'Mapa final'!$O$49="Catastrófico"),CONCATENATE("R",'Mapa final'!$A$49),"")</f>
        <v/>
      </c>
      <c r="BA12" s="480"/>
      <c r="BB12" s="480" t="str">
        <f>IF(AND('Mapa final'!$K$52="Muy Alta",'Mapa final'!$O$52="Catastrófico"),CONCATENATE("R",'Mapa final'!$A$52),"")</f>
        <v/>
      </c>
      <c r="BC12" s="480"/>
      <c r="BD12" s="480" t="str">
        <f>IF(AND('Mapa final'!$K$55="Muy Alta",'Mapa final'!$O$55="Catastrófico"),CONCATENATE("R",'Mapa final'!$A$55),"")</f>
        <v/>
      </c>
      <c r="BE12" s="480"/>
      <c r="BF12" s="480" t="str">
        <f>IF(AND('Mapa final'!$K$58="Muy Alta",'Mapa final'!$O$58="Catastrófico"),CONCATENATE("R",'Mapa final'!$A$58),"")</f>
        <v/>
      </c>
      <c r="BG12" s="481"/>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row>
    <row r="13" spans="1:119" ht="15" customHeight="1" thickBot="1" x14ac:dyDescent="0.4">
      <c r="A13" s="56"/>
      <c r="B13" s="307"/>
      <c r="C13" s="307"/>
      <c r="D13" s="308"/>
      <c r="E13" s="468"/>
      <c r="F13" s="469"/>
      <c r="G13" s="469"/>
      <c r="H13" s="469"/>
      <c r="I13" s="470"/>
      <c r="J13" s="450"/>
      <c r="K13" s="450"/>
      <c r="L13" s="450"/>
      <c r="M13" s="450"/>
      <c r="N13" s="450"/>
      <c r="O13" s="450"/>
      <c r="P13" s="450"/>
      <c r="Q13" s="450"/>
      <c r="R13" s="450"/>
      <c r="S13" s="450"/>
      <c r="T13" s="491"/>
      <c r="U13" s="450"/>
      <c r="V13" s="450"/>
      <c r="W13" s="450"/>
      <c r="X13" s="450"/>
      <c r="Y13" s="450"/>
      <c r="Z13" s="450"/>
      <c r="AA13" s="450"/>
      <c r="AB13" s="450"/>
      <c r="AC13" s="490"/>
      <c r="AD13" s="491"/>
      <c r="AE13" s="450"/>
      <c r="AF13" s="450"/>
      <c r="AG13" s="450"/>
      <c r="AH13" s="450"/>
      <c r="AI13" s="450"/>
      <c r="AJ13" s="450"/>
      <c r="AK13" s="450"/>
      <c r="AL13" s="450"/>
      <c r="AM13" s="490"/>
      <c r="AN13" s="491"/>
      <c r="AO13" s="450"/>
      <c r="AP13" s="450"/>
      <c r="AQ13" s="450"/>
      <c r="AR13" s="450"/>
      <c r="AS13" s="450"/>
      <c r="AT13" s="450"/>
      <c r="AU13" s="450"/>
      <c r="AV13" s="450"/>
      <c r="AW13" s="490"/>
      <c r="AX13" s="482"/>
      <c r="AY13" s="480"/>
      <c r="AZ13" s="480"/>
      <c r="BA13" s="480"/>
      <c r="BB13" s="480"/>
      <c r="BC13" s="480"/>
      <c r="BD13" s="480"/>
      <c r="BE13" s="480"/>
      <c r="BF13" s="480"/>
      <c r="BG13" s="481"/>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row>
    <row r="14" spans="1:119" ht="15" customHeight="1" x14ac:dyDescent="0.35">
      <c r="A14" s="56"/>
      <c r="B14" s="307"/>
      <c r="C14" s="307"/>
      <c r="D14" s="308"/>
      <c r="E14" s="468"/>
      <c r="F14" s="469"/>
      <c r="G14" s="469"/>
      <c r="H14" s="469"/>
      <c r="I14" s="470"/>
      <c r="J14" s="450" t="str">
        <f>IF(AND('Mapa final'!$K$61="Muy Alta",'Mapa final'!$O$61="Leve"),CONCATENATE("R",'Mapa final'!$A$61),"")</f>
        <v/>
      </c>
      <c r="K14" s="450"/>
      <c r="L14" s="450" t="str">
        <f>IF(AND('Mapa final'!$K$64="Muy Alta",'Mapa final'!$O$64="Leve"),CONCATENATE("R",'Mapa final'!$A$64),"")</f>
        <v/>
      </c>
      <c r="M14" s="450"/>
      <c r="N14" s="450" t="str">
        <f>IF(AND('Mapa final'!$K$70="Muy Alta",'Mapa final'!$O$70="Leve"),CONCATENATE("R",'Mapa final'!$A$70),"")</f>
        <v/>
      </c>
      <c r="O14" s="450"/>
      <c r="P14" s="450" t="str">
        <f>IF(AND('Mapa final'!$K$73="Muy Alta",'Mapa final'!$O$73="Leve"),CONCATENATE("R",'Mapa final'!$A$73),"")</f>
        <v/>
      </c>
      <c r="Q14" s="450"/>
      <c r="R14" s="450" t="str">
        <f>IF(AND('Mapa final'!$K$76="Muy Alta",'Mapa final'!$O$76="Leve"),CONCATENATE("R",'Mapa final'!$A$76),"")</f>
        <v/>
      </c>
      <c r="S14" s="450"/>
      <c r="T14" s="491" t="str">
        <f>IF(AND('Mapa final'!$K$61="Muy Alta",'Mapa final'!$O$61="Menor"),CONCATENATE("R",'Mapa final'!$A$61),"")</f>
        <v/>
      </c>
      <c r="U14" s="450"/>
      <c r="V14" s="450" t="str">
        <f>IF(AND('Mapa final'!$K$64="Muy Alta",'Mapa final'!$O$64="Menor"),CONCATENATE("R",'Mapa final'!$A$64),"")</f>
        <v/>
      </c>
      <c r="W14" s="450"/>
      <c r="X14" s="450" t="str">
        <f>IF(AND('Mapa final'!$K$70="Muy Alta",'Mapa final'!$O$70="Menor"),CONCATENATE("R",'Mapa final'!$A$70),"")</f>
        <v/>
      </c>
      <c r="Y14" s="450"/>
      <c r="Z14" s="450" t="str">
        <f>IF(AND('Mapa final'!$K$73="Muy Alta",'Mapa final'!$O$73="Menor"),CONCATENATE("R",'Mapa final'!$A$73),"")</f>
        <v/>
      </c>
      <c r="AA14" s="450"/>
      <c r="AB14" s="450" t="str">
        <f>IF(AND('Mapa final'!$K$76="Muy Alta",'Mapa final'!$O$76="Menor"),CONCATENATE("R",'Mapa final'!$A$76),"")</f>
        <v/>
      </c>
      <c r="AC14" s="490"/>
      <c r="AD14" s="491" t="str">
        <f>IF(AND('Mapa final'!$K$61="Muy Alta",'Mapa final'!$O$61="Moderado"),CONCATENATE("R",'Mapa final'!$A$61),"")</f>
        <v/>
      </c>
      <c r="AE14" s="450"/>
      <c r="AF14" s="450" t="str">
        <f>IF(AND('Mapa final'!$K$64="Muy Alta",'Mapa final'!$O$64="Moderado"),CONCATENATE("R",'Mapa final'!$A$64),"")</f>
        <v/>
      </c>
      <c r="AG14" s="450"/>
      <c r="AH14" s="450" t="str">
        <f>IF(AND('Mapa final'!$K$70="Muy Alta",'Mapa final'!$O$70="Moderado"),CONCATENATE("R",'Mapa final'!$A$70),"")</f>
        <v/>
      </c>
      <c r="AI14" s="450"/>
      <c r="AJ14" s="450" t="str">
        <f>IF(AND('Mapa final'!$K$73="Muy Alta",'Mapa final'!$O$73="Moderado"),CONCATENATE("R",'Mapa final'!$A$73),"")</f>
        <v/>
      </c>
      <c r="AK14" s="450"/>
      <c r="AL14" s="450" t="str">
        <f>IF(AND('Mapa final'!$K$76="Muy Alta",'Mapa final'!$O$76="Moderado"),CONCATENATE("R",'Mapa final'!$A$76),"")</f>
        <v/>
      </c>
      <c r="AM14" s="490"/>
      <c r="AN14" s="491" t="str">
        <f>IF(AND('Mapa final'!$K$61="Muy Alta",'Mapa final'!$O$61="Mayor"),CONCATENATE("R",'Mapa final'!$A$61),"")</f>
        <v/>
      </c>
      <c r="AO14" s="450"/>
      <c r="AP14" s="450" t="str">
        <f>IF(AND('Mapa final'!$K$64="Muy Alta",'Mapa final'!$O$64="Mayor"),CONCATENATE("R",'Mapa final'!$A$64),"")</f>
        <v/>
      </c>
      <c r="AQ14" s="450"/>
      <c r="AR14" s="450" t="str">
        <f>IF(AND('Mapa final'!$K$70="Muy Alta",'Mapa final'!$O$70="Mayor"),CONCATENATE("R",'Mapa final'!$A$70),"")</f>
        <v/>
      </c>
      <c r="AS14" s="450"/>
      <c r="AT14" s="450" t="str">
        <f>IF(AND('Mapa final'!$K$73="Muy Alta",'Mapa final'!$O$73="Mayor"),CONCATENATE("R",'Mapa final'!$A$73),"")</f>
        <v/>
      </c>
      <c r="AU14" s="450"/>
      <c r="AV14" s="450" t="str">
        <f>IF(AND('Mapa final'!$K$76="Muy Alta",'Mapa final'!$O$76="Mayor"),CONCATENATE("R",'Mapa final'!$A$76),"")</f>
        <v/>
      </c>
      <c r="AW14" s="490"/>
      <c r="AX14" s="482" t="str">
        <f>IF(AND('Mapa final'!$K$61="Muy Alta",'Mapa final'!$O$61="Catastrófico"),CONCATENATE("R",'Mapa final'!$A$61),"")</f>
        <v/>
      </c>
      <c r="AY14" s="480"/>
      <c r="AZ14" s="480" t="str">
        <f>IF(AND('Mapa final'!$K$64="Muy Alta",'Mapa final'!$O$64="Catastrófico"),CONCATENATE("R",'Mapa final'!$A$64),"")</f>
        <v/>
      </c>
      <c r="BA14" s="480"/>
      <c r="BB14" s="480" t="str">
        <f>IF(AND('Mapa final'!$K$70="Muy Alta",'Mapa final'!$O$70="Catastrófico"),CONCATENATE("R",'Mapa final'!$A$70),"")</f>
        <v/>
      </c>
      <c r="BC14" s="480"/>
      <c r="BD14" s="480" t="str">
        <f>IF(AND('Mapa final'!$K$73="Muy Alta",'Mapa final'!$O$73="Catastrófico"),CONCATENATE("R",'Mapa final'!$A$73),"")</f>
        <v/>
      </c>
      <c r="BE14" s="480"/>
      <c r="BF14" s="480" t="str">
        <f>IF(AND('Mapa final'!$K$76="Muy Alta",'Mapa final'!$O$76="Catastrófico"),CONCATENATE("R",'Mapa final'!$A$76),"")</f>
        <v/>
      </c>
      <c r="BG14" s="481"/>
      <c r="BH14" s="56"/>
      <c r="BI14" s="501" t="s">
        <v>73</v>
      </c>
      <c r="BJ14" s="502"/>
      <c r="BK14" s="502"/>
      <c r="BL14" s="502"/>
      <c r="BM14" s="502"/>
      <c r="BN14" s="503"/>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row>
    <row r="15" spans="1:119" ht="15" customHeight="1" x14ac:dyDescent="0.35">
      <c r="A15" s="56"/>
      <c r="B15" s="307"/>
      <c r="C15" s="307"/>
      <c r="D15" s="308"/>
      <c r="E15" s="468"/>
      <c r="F15" s="469"/>
      <c r="G15" s="469"/>
      <c r="H15" s="469"/>
      <c r="I15" s="470"/>
      <c r="J15" s="450"/>
      <c r="K15" s="450"/>
      <c r="L15" s="450"/>
      <c r="M15" s="450"/>
      <c r="N15" s="450"/>
      <c r="O15" s="450"/>
      <c r="P15" s="450"/>
      <c r="Q15" s="450"/>
      <c r="R15" s="450"/>
      <c r="S15" s="450"/>
      <c r="T15" s="491"/>
      <c r="U15" s="450"/>
      <c r="V15" s="450"/>
      <c r="W15" s="450"/>
      <c r="X15" s="450"/>
      <c r="Y15" s="450"/>
      <c r="Z15" s="450"/>
      <c r="AA15" s="450"/>
      <c r="AB15" s="450"/>
      <c r="AC15" s="490"/>
      <c r="AD15" s="491"/>
      <c r="AE15" s="450"/>
      <c r="AF15" s="450"/>
      <c r="AG15" s="450"/>
      <c r="AH15" s="450"/>
      <c r="AI15" s="450"/>
      <c r="AJ15" s="450"/>
      <c r="AK15" s="450"/>
      <c r="AL15" s="450"/>
      <c r="AM15" s="490"/>
      <c r="AN15" s="491"/>
      <c r="AO15" s="450"/>
      <c r="AP15" s="450"/>
      <c r="AQ15" s="450"/>
      <c r="AR15" s="450"/>
      <c r="AS15" s="450"/>
      <c r="AT15" s="450"/>
      <c r="AU15" s="450"/>
      <c r="AV15" s="450"/>
      <c r="AW15" s="490"/>
      <c r="AX15" s="482"/>
      <c r="AY15" s="480"/>
      <c r="AZ15" s="480"/>
      <c r="BA15" s="480"/>
      <c r="BB15" s="480"/>
      <c r="BC15" s="480"/>
      <c r="BD15" s="480"/>
      <c r="BE15" s="480"/>
      <c r="BF15" s="480"/>
      <c r="BG15" s="481"/>
      <c r="BH15" s="56"/>
      <c r="BI15" s="504"/>
      <c r="BJ15" s="505"/>
      <c r="BK15" s="505"/>
      <c r="BL15" s="505"/>
      <c r="BM15" s="505"/>
      <c r="BN15" s="50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row>
    <row r="16" spans="1:119" ht="15" customHeight="1" x14ac:dyDescent="0.35">
      <c r="A16" s="56"/>
      <c r="B16" s="307"/>
      <c r="C16" s="307"/>
      <c r="D16" s="308"/>
      <c r="E16" s="468"/>
      <c r="F16" s="469"/>
      <c r="G16" s="469"/>
      <c r="H16" s="469"/>
      <c r="I16" s="470"/>
      <c r="J16" s="450" t="str">
        <f>IF(AND('Mapa final'!$K$79="Muy Alta",'Mapa final'!$O$79="Leve"),CONCATENATE("R",'Mapa final'!$A$79),"")</f>
        <v/>
      </c>
      <c r="K16" s="450"/>
      <c r="L16" s="450" t="str">
        <f>IF(AND('Mapa final'!$K$82="Muy Alta",'Mapa final'!$O$82="Leve"),CONCATENATE("R",'Mapa final'!$A$82),"")</f>
        <v/>
      </c>
      <c r="M16" s="450"/>
      <c r="N16" s="450" t="str">
        <f>IF(AND('Mapa final'!$K$85="Muy Alta",'Mapa final'!$O$85="Leve"),CONCATENATE("R",'Mapa final'!$A$85),"")</f>
        <v/>
      </c>
      <c r="O16" s="450"/>
      <c r="P16" s="450" t="str">
        <f>IF(AND('Mapa final'!$K$88="Muy Alta",'Mapa final'!$O$88="Leve"),CONCATENATE("R",'Mapa final'!$A$88),"")</f>
        <v/>
      </c>
      <c r="Q16" s="450"/>
      <c r="R16" s="450" t="str">
        <f>IF(AND('Mapa final'!$K$91="Muy Alta",'Mapa final'!$O$91="Leve"),CONCATENATE("R",'Mapa final'!$A$91),"")</f>
        <v/>
      </c>
      <c r="S16" s="450"/>
      <c r="T16" s="491" t="str">
        <f>IF(AND('Mapa final'!$K$79="Muy Alta",'Mapa final'!$O$79="Menor"),CONCATENATE("R",'Mapa final'!$A$79),"")</f>
        <v/>
      </c>
      <c r="U16" s="450"/>
      <c r="V16" s="450" t="str">
        <f>IF(AND('Mapa final'!$K$82="Muy Alta",'Mapa final'!$O$82="Menor"),CONCATENATE("R",'Mapa final'!$A$82),"")</f>
        <v/>
      </c>
      <c r="W16" s="450"/>
      <c r="X16" s="450" t="str">
        <f>IF(AND('Mapa final'!$K$85="Muy Alta",'Mapa final'!$O$85="Menor"),CONCATENATE("R",'Mapa final'!$A$85),"")</f>
        <v/>
      </c>
      <c r="Y16" s="450"/>
      <c r="Z16" s="450" t="str">
        <f>IF(AND('Mapa final'!$K$88="Muy Alta",'Mapa final'!$O$88="Menor"),CONCATENATE("R",'Mapa final'!$A$88),"")</f>
        <v/>
      </c>
      <c r="AA16" s="450"/>
      <c r="AB16" s="450" t="str">
        <f>IF(AND('Mapa final'!$K$91="Muy Alta",'Mapa final'!$O$91="Menor"),CONCATENATE("R",'Mapa final'!$A$91),"")</f>
        <v/>
      </c>
      <c r="AC16" s="490"/>
      <c r="AD16" s="491" t="str">
        <f>IF(AND('Mapa final'!$K$79="Muy Alta",'Mapa final'!$O$79="Moderado"),CONCATENATE("R",'Mapa final'!$A$79),"")</f>
        <v/>
      </c>
      <c r="AE16" s="450"/>
      <c r="AF16" s="450" t="str">
        <f>IF(AND('Mapa final'!$K$82="Muy Alta",'Mapa final'!$O$82="Moderado"),CONCATENATE("R",'Mapa final'!$A$82),"")</f>
        <v/>
      </c>
      <c r="AG16" s="450"/>
      <c r="AH16" s="450" t="str">
        <f>IF(AND('Mapa final'!$K$85="Muy Alta",'Mapa final'!$O$85="Moderado"),CONCATENATE("R",'Mapa final'!$A$85),"")</f>
        <v/>
      </c>
      <c r="AI16" s="450"/>
      <c r="AJ16" s="450" t="str">
        <f>IF(AND('Mapa final'!$K$88="Muy Alta",'Mapa final'!$O$88="Moderado"),CONCATENATE("R",'Mapa final'!$A$88),"")</f>
        <v/>
      </c>
      <c r="AK16" s="450"/>
      <c r="AL16" s="450" t="str">
        <f>IF(AND('Mapa final'!$K$91="Muy Alta",'Mapa final'!$O$91="Moderado"),CONCATENATE("R",'Mapa final'!$A$91),"")</f>
        <v/>
      </c>
      <c r="AM16" s="490"/>
      <c r="AN16" s="491" t="str">
        <f>IF(AND('Mapa final'!$K$79="Muy Alta",'Mapa final'!$O$79="Mayor"),CONCATENATE("R",'Mapa final'!$A$79),"")</f>
        <v/>
      </c>
      <c r="AO16" s="450"/>
      <c r="AP16" s="450" t="str">
        <f>IF(AND('Mapa final'!$K$82="Muy Alta",'Mapa final'!$O$82="Mayor"),CONCATENATE("R",'Mapa final'!$A$82),"")</f>
        <v/>
      </c>
      <c r="AQ16" s="450"/>
      <c r="AR16" s="450" t="str">
        <f>IF(AND('Mapa final'!$K$85="Muy Alta",'Mapa final'!$O$85="Mayor"),CONCATENATE("R",'Mapa final'!$A$85),"")</f>
        <v/>
      </c>
      <c r="AS16" s="450"/>
      <c r="AT16" s="450" t="str">
        <f>IF(AND('Mapa final'!$K$88="Muy Alta",'Mapa final'!$O$88="Mayor"),CONCATENATE("R",'Mapa final'!$A$88),"")</f>
        <v/>
      </c>
      <c r="AU16" s="450"/>
      <c r="AV16" s="450" t="str">
        <f>IF(AND('Mapa final'!$K$91="Muy Alta",'Mapa final'!$O$91="Mayor"),CONCATENATE("R",'Mapa final'!$A$91),"")</f>
        <v/>
      </c>
      <c r="AW16" s="490"/>
      <c r="AX16" s="482" t="str">
        <f>IF(AND('Mapa final'!$K$79="Muy Alta",'Mapa final'!$O$79="Catastrófico"),CONCATENATE("R",'Mapa final'!$A$79),"")</f>
        <v/>
      </c>
      <c r="AY16" s="480"/>
      <c r="AZ16" s="480" t="str">
        <f>IF(AND('Mapa final'!$K$82="Muy Alta",'Mapa final'!$O$82="Catastrófico"),CONCATENATE("R",'Mapa final'!$A$82),"")</f>
        <v/>
      </c>
      <c r="BA16" s="480"/>
      <c r="BB16" s="480" t="str">
        <f>IF(AND('Mapa final'!$K$85="Muy Alta",'Mapa final'!$O$85="Catastrófico"),CONCATENATE("R",'Mapa final'!$A$85),"")</f>
        <v/>
      </c>
      <c r="BC16" s="480"/>
      <c r="BD16" s="480" t="str">
        <f>IF(AND('Mapa final'!$K$88="Muy Alta",'Mapa final'!$O$88="Catastrófico"),CONCATENATE("R",'Mapa final'!$A$88),"")</f>
        <v/>
      </c>
      <c r="BE16" s="480"/>
      <c r="BF16" s="480" t="str">
        <f>IF(AND('Mapa final'!$K$91="Muy Alta",'Mapa final'!$O$91="Catastrófico"),CONCATENATE("R",'Mapa final'!$A$91),"")</f>
        <v/>
      </c>
      <c r="BG16" s="481"/>
      <c r="BH16" s="56"/>
      <c r="BI16" s="504"/>
      <c r="BJ16" s="505"/>
      <c r="BK16" s="505"/>
      <c r="BL16" s="505"/>
      <c r="BM16" s="505"/>
      <c r="BN16" s="50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row>
    <row r="17" spans="1:100" ht="15" customHeight="1" x14ac:dyDescent="0.35">
      <c r="A17" s="56"/>
      <c r="B17" s="307"/>
      <c r="C17" s="307"/>
      <c r="D17" s="308"/>
      <c r="E17" s="468"/>
      <c r="F17" s="469"/>
      <c r="G17" s="469"/>
      <c r="H17" s="469"/>
      <c r="I17" s="470"/>
      <c r="J17" s="450"/>
      <c r="K17" s="450"/>
      <c r="L17" s="450"/>
      <c r="M17" s="450"/>
      <c r="N17" s="450"/>
      <c r="O17" s="450"/>
      <c r="P17" s="450"/>
      <c r="Q17" s="450"/>
      <c r="R17" s="450"/>
      <c r="S17" s="450"/>
      <c r="T17" s="491"/>
      <c r="U17" s="450"/>
      <c r="V17" s="450"/>
      <c r="W17" s="450"/>
      <c r="X17" s="450"/>
      <c r="Y17" s="450"/>
      <c r="Z17" s="450"/>
      <c r="AA17" s="450"/>
      <c r="AB17" s="450"/>
      <c r="AC17" s="490"/>
      <c r="AD17" s="491"/>
      <c r="AE17" s="450"/>
      <c r="AF17" s="450"/>
      <c r="AG17" s="450"/>
      <c r="AH17" s="450"/>
      <c r="AI17" s="450"/>
      <c r="AJ17" s="450"/>
      <c r="AK17" s="450"/>
      <c r="AL17" s="450"/>
      <c r="AM17" s="490"/>
      <c r="AN17" s="491"/>
      <c r="AO17" s="450"/>
      <c r="AP17" s="450"/>
      <c r="AQ17" s="450"/>
      <c r="AR17" s="450"/>
      <c r="AS17" s="450"/>
      <c r="AT17" s="450"/>
      <c r="AU17" s="450"/>
      <c r="AV17" s="450"/>
      <c r="AW17" s="490"/>
      <c r="AX17" s="482"/>
      <c r="AY17" s="480"/>
      <c r="AZ17" s="480"/>
      <c r="BA17" s="480"/>
      <c r="BB17" s="480"/>
      <c r="BC17" s="480"/>
      <c r="BD17" s="480"/>
      <c r="BE17" s="480"/>
      <c r="BF17" s="480"/>
      <c r="BG17" s="481"/>
      <c r="BH17" s="56"/>
      <c r="BI17" s="504"/>
      <c r="BJ17" s="505"/>
      <c r="BK17" s="505"/>
      <c r="BL17" s="505"/>
      <c r="BM17" s="505"/>
      <c r="BN17" s="50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row>
    <row r="18" spans="1:100" ht="15" customHeight="1" x14ac:dyDescent="0.35">
      <c r="A18" s="56"/>
      <c r="B18" s="307"/>
      <c r="C18" s="307"/>
      <c r="D18" s="308"/>
      <c r="E18" s="468"/>
      <c r="F18" s="469"/>
      <c r="G18" s="469"/>
      <c r="H18" s="469"/>
      <c r="I18" s="470"/>
      <c r="J18" s="450" t="str">
        <f>IF(AND('Mapa final'!$K$94="Muy Alta",'Mapa final'!$O$94="Leve"),CONCATENATE("R",'Mapa final'!$A$94),"")</f>
        <v/>
      </c>
      <c r="K18" s="450"/>
      <c r="L18" s="450" t="e">
        <f>IF(AND('Mapa final'!#REF!="Muy Alta",'Mapa final'!#REF!="Leve"),CONCATENATE("R",'Mapa final'!#REF!),"")</f>
        <v>#REF!</v>
      </c>
      <c r="M18" s="450"/>
      <c r="N18" s="450" t="str">
        <f>IF(AND('Mapa final'!$K$97="Muy Alta",'Mapa final'!$O$97="Leve"),CONCATENATE("R",'Mapa final'!$A$97),"")</f>
        <v/>
      </c>
      <c r="O18" s="450"/>
      <c r="P18" s="450" t="str">
        <f>IF(AND('Mapa final'!$K$100="Muy Alta",'Mapa final'!$O$100="Leve"),CONCATENATE("R",'Mapa final'!$A$100),"")</f>
        <v/>
      </c>
      <c r="Q18" s="450"/>
      <c r="R18" s="450" t="str">
        <f>IF(AND('Mapa final'!$K$103="Muy Alta",'Mapa final'!$O$103="Leve"),CONCATENATE("R",'Mapa final'!$A$103),"")</f>
        <v/>
      </c>
      <c r="S18" s="450"/>
      <c r="T18" s="491" t="str">
        <f>IF(AND('Mapa final'!$K$94="Muy Alta",'Mapa final'!$O$94="Menor"),CONCATENATE("R",'Mapa final'!$A$94),"")</f>
        <v/>
      </c>
      <c r="U18" s="450"/>
      <c r="V18" s="450" t="e">
        <f>IF(AND('Mapa final'!#REF!="Muy Alta",'Mapa final'!#REF!="Menor"),CONCATENATE("R",'Mapa final'!#REF!),"")</f>
        <v>#REF!</v>
      </c>
      <c r="W18" s="450"/>
      <c r="X18" s="450" t="str">
        <f>IF(AND('Mapa final'!$K$97="Muy Alta",'Mapa final'!$O$97="Menor"),CONCATENATE("R",'Mapa final'!$A$97),"")</f>
        <v/>
      </c>
      <c r="Y18" s="450"/>
      <c r="Z18" s="450" t="str">
        <f>IF(AND('Mapa final'!$K$100="Muy Alta",'Mapa final'!$O$100="Menor"),CONCATENATE("R",'Mapa final'!$A$100),"")</f>
        <v/>
      </c>
      <c r="AA18" s="450"/>
      <c r="AB18" s="450" t="str">
        <f>IF(AND('Mapa final'!$K$103="Muy Alta",'Mapa final'!$O$103="Menor"),CONCATENATE("R",'Mapa final'!$A$103),"")</f>
        <v/>
      </c>
      <c r="AC18" s="490"/>
      <c r="AD18" s="491" t="str">
        <f>IF(AND('Mapa final'!$K$94="Muy Alta",'Mapa final'!$O$94="Moderado"),CONCATENATE("R",'Mapa final'!$A$94),"")</f>
        <v/>
      </c>
      <c r="AE18" s="450"/>
      <c r="AF18" s="450" t="e">
        <f>IF(AND('Mapa final'!#REF!="Muy Alta",'Mapa final'!#REF!="Moderado"),CONCATENATE("R",'Mapa final'!#REF!),"")</f>
        <v>#REF!</v>
      </c>
      <c r="AG18" s="450"/>
      <c r="AH18" s="450" t="str">
        <f>IF(AND('Mapa final'!$K$97="Muy Alta",'Mapa final'!$O$97="Moderado"),CONCATENATE("R",'Mapa final'!$A$97),"")</f>
        <v/>
      </c>
      <c r="AI18" s="450"/>
      <c r="AJ18" s="450" t="str">
        <f>IF(AND('Mapa final'!$K$100="Muy Alta",'Mapa final'!$O$100="Moderado"),CONCATENATE("R",'Mapa final'!$A$100),"")</f>
        <v/>
      </c>
      <c r="AK18" s="450"/>
      <c r="AL18" s="450" t="str">
        <f>IF(AND('Mapa final'!$K$103="Muy Alta",'Mapa final'!$O$103="Moderado"),CONCATENATE("R",'Mapa final'!$A$103),"")</f>
        <v/>
      </c>
      <c r="AM18" s="490"/>
      <c r="AN18" s="491" t="str">
        <f>IF(AND('Mapa final'!$K$94="Muy Alta",'Mapa final'!$O$94="Mayor"),CONCATENATE("R",'Mapa final'!$A$94),"")</f>
        <v/>
      </c>
      <c r="AO18" s="450"/>
      <c r="AP18" s="450" t="e">
        <f>IF(AND('Mapa final'!#REF!="Muy Alta",'Mapa final'!#REF!="Mayor"),CONCATENATE("R",'Mapa final'!#REF!),"")</f>
        <v>#REF!</v>
      </c>
      <c r="AQ18" s="450"/>
      <c r="AR18" s="450" t="str">
        <f>IF(AND('Mapa final'!$K$97="Muy Alta",'Mapa final'!$O$97="Mayor"),CONCATENATE("R",'Mapa final'!$A$97),"")</f>
        <v/>
      </c>
      <c r="AS18" s="450"/>
      <c r="AT18" s="450" t="str">
        <f>IF(AND('Mapa final'!$K$100="Muy Alta",'Mapa final'!$O$100="Mayor"),CONCATENATE("R",'Mapa final'!$A$100),"")</f>
        <v/>
      </c>
      <c r="AU18" s="450"/>
      <c r="AV18" s="450" t="str">
        <f>IF(AND('Mapa final'!$K$103="Muy Alta",'Mapa final'!$O$103="Mayor"),CONCATENATE("R",'Mapa final'!$A$103),"")</f>
        <v/>
      </c>
      <c r="AW18" s="490"/>
      <c r="AX18" s="482" t="str">
        <f>IF(AND('Mapa final'!$K$94="Muy Alta",'Mapa final'!$O$94="Catastrófico"),CONCATENATE("R",'Mapa final'!$A$94),"")</f>
        <v/>
      </c>
      <c r="AY18" s="480"/>
      <c r="AZ18" s="480" t="e">
        <f>IF(AND('Mapa final'!#REF!="Muy Alta",'Mapa final'!#REF!="Catastrófico"),CONCATENATE("R",'Mapa final'!#REF!),"")</f>
        <v>#REF!</v>
      </c>
      <c r="BA18" s="480"/>
      <c r="BB18" s="480" t="str">
        <f>IF(AND('Mapa final'!$K$97="Muy Alta",'Mapa final'!$O$97="Catastrófico"),CONCATENATE("R",'Mapa final'!$A$97),"")</f>
        <v/>
      </c>
      <c r="BC18" s="480"/>
      <c r="BD18" s="480" t="str">
        <f>IF(AND('Mapa final'!$K$100="Muy Alta",'Mapa final'!$O$100="Catastrófico"),CONCATENATE("R",'Mapa final'!$A$100),"")</f>
        <v/>
      </c>
      <c r="BE18" s="480"/>
      <c r="BF18" s="480" t="str">
        <f>IF(AND('Mapa final'!$K$103="Muy Alta",'Mapa final'!$O$103="Catastrófico"),CONCATENATE("R",'Mapa final'!$A$103),"")</f>
        <v/>
      </c>
      <c r="BG18" s="481"/>
      <c r="BH18" s="56"/>
      <c r="BI18" s="504"/>
      <c r="BJ18" s="505"/>
      <c r="BK18" s="505"/>
      <c r="BL18" s="505"/>
      <c r="BM18" s="505"/>
      <c r="BN18" s="50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row>
    <row r="19" spans="1:100" ht="15" customHeight="1" x14ac:dyDescent="0.35">
      <c r="A19" s="56"/>
      <c r="B19" s="307"/>
      <c r="C19" s="307"/>
      <c r="D19" s="308"/>
      <c r="E19" s="468"/>
      <c r="F19" s="469"/>
      <c r="G19" s="469"/>
      <c r="H19" s="469"/>
      <c r="I19" s="470"/>
      <c r="J19" s="450"/>
      <c r="K19" s="450"/>
      <c r="L19" s="450"/>
      <c r="M19" s="450"/>
      <c r="N19" s="450"/>
      <c r="O19" s="450"/>
      <c r="P19" s="450"/>
      <c r="Q19" s="450"/>
      <c r="R19" s="450"/>
      <c r="S19" s="450"/>
      <c r="T19" s="491"/>
      <c r="U19" s="450"/>
      <c r="V19" s="450"/>
      <c r="W19" s="450"/>
      <c r="X19" s="450"/>
      <c r="Y19" s="450"/>
      <c r="Z19" s="450"/>
      <c r="AA19" s="450"/>
      <c r="AB19" s="450"/>
      <c r="AC19" s="490"/>
      <c r="AD19" s="491"/>
      <c r="AE19" s="450"/>
      <c r="AF19" s="450"/>
      <c r="AG19" s="450"/>
      <c r="AH19" s="450"/>
      <c r="AI19" s="450"/>
      <c r="AJ19" s="450"/>
      <c r="AK19" s="450"/>
      <c r="AL19" s="450"/>
      <c r="AM19" s="490"/>
      <c r="AN19" s="491"/>
      <c r="AO19" s="450"/>
      <c r="AP19" s="450"/>
      <c r="AQ19" s="450"/>
      <c r="AR19" s="450"/>
      <c r="AS19" s="450"/>
      <c r="AT19" s="450"/>
      <c r="AU19" s="450"/>
      <c r="AV19" s="450"/>
      <c r="AW19" s="490"/>
      <c r="AX19" s="482"/>
      <c r="AY19" s="480"/>
      <c r="AZ19" s="480"/>
      <c r="BA19" s="480"/>
      <c r="BB19" s="480"/>
      <c r="BC19" s="480"/>
      <c r="BD19" s="480"/>
      <c r="BE19" s="480"/>
      <c r="BF19" s="480"/>
      <c r="BG19" s="481"/>
      <c r="BH19" s="56"/>
      <c r="BI19" s="504"/>
      <c r="BJ19" s="505"/>
      <c r="BK19" s="505"/>
      <c r="BL19" s="505"/>
      <c r="BM19" s="505"/>
      <c r="BN19" s="50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row>
    <row r="20" spans="1:100" ht="15" customHeight="1" x14ac:dyDescent="0.35">
      <c r="A20" s="56"/>
      <c r="B20" s="307"/>
      <c r="C20" s="307"/>
      <c r="D20" s="308"/>
      <c r="E20" s="468"/>
      <c r="F20" s="469"/>
      <c r="G20" s="469"/>
      <c r="H20" s="469"/>
      <c r="I20" s="470"/>
      <c r="J20" s="450" t="str">
        <f>IF(AND('Mapa final'!$K$106="Muy Alta",'Mapa final'!$O$106="Leve"),CONCATENATE("R",'Mapa final'!$A$106),"")</f>
        <v/>
      </c>
      <c r="K20" s="450"/>
      <c r="L20" s="450" t="str">
        <f>IF(AND('Mapa final'!$K$109="Muy Alta",'Mapa final'!$O$109="Leve"),CONCATENATE("R",'Mapa final'!$A$109),"")</f>
        <v/>
      </c>
      <c r="M20" s="450"/>
      <c r="N20" s="450" t="str">
        <f>IF(AND('Mapa final'!$K$112="Muy Alta",'Mapa final'!$O$112="Leve"),CONCATENATE("R",'Mapa final'!$A$112),"")</f>
        <v/>
      </c>
      <c r="O20" s="450"/>
      <c r="P20" s="450" t="str">
        <f>IF(AND('Mapa final'!$K$115="Muy Alta",'Mapa final'!$O$115="Leve"),CONCATENATE("R",'Mapa final'!$A$115),"")</f>
        <v/>
      </c>
      <c r="Q20" s="450"/>
      <c r="R20" s="450" t="str">
        <f>IF(AND('Mapa final'!$K$118="Muy Alta",'Mapa final'!$O$118="Leve"),CONCATENATE("R",'Mapa final'!$A$118),"")</f>
        <v/>
      </c>
      <c r="S20" s="450"/>
      <c r="T20" s="491" t="str">
        <f>IF(AND('Mapa final'!$K$106="Muy Alta",'Mapa final'!$O$106="Menor"),CONCATENATE("R",'Mapa final'!$A$106),"")</f>
        <v/>
      </c>
      <c r="U20" s="450"/>
      <c r="V20" s="450" t="str">
        <f>IF(AND('Mapa final'!$K$109="Muy Alta",'Mapa final'!$O$109="Menor"),CONCATENATE("R",'Mapa final'!$A$109),"")</f>
        <v/>
      </c>
      <c r="W20" s="450"/>
      <c r="X20" s="450" t="str">
        <f>IF(AND('Mapa final'!$K$112="Muy Alta",'Mapa final'!$O$112="Menor"),CONCATENATE("R",'Mapa final'!$A$112),"")</f>
        <v/>
      </c>
      <c r="Y20" s="450"/>
      <c r="Z20" s="450" t="str">
        <f>IF(AND('Mapa final'!$K$115="Muy Alta",'Mapa final'!$O$115="Menor"),CONCATENATE("R",'Mapa final'!$A$115),"")</f>
        <v/>
      </c>
      <c r="AA20" s="450"/>
      <c r="AB20" s="450" t="str">
        <f>IF(AND('Mapa final'!$K$118="Muy Alta",'Mapa final'!$O$118="Menor"),CONCATENATE("R",'Mapa final'!$A$118),"")</f>
        <v/>
      </c>
      <c r="AC20" s="490"/>
      <c r="AD20" s="491" t="str">
        <f>IF(AND('Mapa final'!$K$106="Muy Alta",'Mapa final'!$O$106="Moderado"),CONCATENATE("R",'Mapa final'!$A$106),"")</f>
        <v/>
      </c>
      <c r="AE20" s="450"/>
      <c r="AF20" s="450" t="str">
        <f>IF(AND('Mapa final'!$K$109="Muy Alta",'Mapa final'!$O$109="Moderado"),CONCATENATE("R",'Mapa final'!$A$109),"")</f>
        <v/>
      </c>
      <c r="AG20" s="450"/>
      <c r="AH20" s="450" t="str">
        <f>IF(AND('Mapa final'!$K$112="Muy Alta",'Mapa final'!$O$112="Moderado"),CONCATENATE("R",'Mapa final'!$A$112),"")</f>
        <v/>
      </c>
      <c r="AI20" s="450"/>
      <c r="AJ20" s="450" t="str">
        <f>IF(AND('Mapa final'!$K$115="Muy Alta",'Mapa final'!$O$115="Moderado"),CONCATENATE("R",'Mapa final'!$A$115),"")</f>
        <v/>
      </c>
      <c r="AK20" s="450"/>
      <c r="AL20" s="450" t="str">
        <f>IF(AND('Mapa final'!$K$118="Muy Alta",'Mapa final'!$O$118="Moderado"),CONCATENATE("R",'Mapa final'!$A$118),"")</f>
        <v/>
      </c>
      <c r="AM20" s="490"/>
      <c r="AN20" s="491" t="str">
        <f>IF(AND('Mapa final'!$K$106="Muy Alta",'Mapa final'!$O$106="Mayor"),CONCATENATE("R",'Mapa final'!$A$106),"")</f>
        <v/>
      </c>
      <c r="AO20" s="450"/>
      <c r="AP20" s="450" t="str">
        <f>IF(AND('Mapa final'!$K$109="Muy Alta",'Mapa final'!$O$109="Mayor"),CONCATENATE("R",'Mapa final'!$A$109),"")</f>
        <v/>
      </c>
      <c r="AQ20" s="450"/>
      <c r="AR20" s="450" t="str">
        <f>IF(AND('Mapa final'!$K$112="Muy Alta",'Mapa final'!$O$112="Mayor"),CONCATENATE("R",'Mapa final'!$A$112),"")</f>
        <v/>
      </c>
      <c r="AS20" s="450"/>
      <c r="AT20" s="450" t="str">
        <f>IF(AND('Mapa final'!$K$115="Muy Alta",'Mapa final'!$O$115="Mayor"),CONCATENATE("R",'Mapa final'!$A$115),"")</f>
        <v/>
      </c>
      <c r="AU20" s="450"/>
      <c r="AV20" s="450" t="str">
        <f>IF(AND('Mapa final'!$K$118="Muy Alta",'Mapa final'!$O$118="Mayor"),CONCATENATE("R",'Mapa final'!$A$118),"")</f>
        <v/>
      </c>
      <c r="AW20" s="490"/>
      <c r="AX20" s="482" t="str">
        <f>IF(AND('Mapa final'!$K$106="Muy Alta",'Mapa final'!$O$106="Catastrófico"),CONCATENATE("R",'Mapa final'!$A$106),"")</f>
        <v/>
      </c>
      <c r="AY20" s="480"/>
      <c r="AZ20" s="480" t="str">
        <f>IF(AND('Mapa final'!$K$109="Muy Alta",'Mapa final'!$O$109="Catastrófico"),CONCATENATE("R",'Mapa final'!$A$109),"")</f>
        <v/>
      </c>
      <c r="BA20" s="480"/>
      <c r="BB20" s="480" t="str">
        <f>IF(AND('Mapa final'!$K$112="Muy Alta",'Mapa final'!$O$112="Catastrófico"),CONCATENATE("R",'Mapa final'!$A$112),"")</f>
        <v/>
      </c>
      <c r="BC20" s="480"/>
      <c r="BD20" s="480" t="str">
        <f>IF(AND('Mapa final'!$K$115="Muy Alta",'Mapa final'!$O$115="Catastrófico"),CONCATENATE("R",'Mapa final'!$A$115),"")</f>
        <v/>
      </c>
      <c r="BE20" s="480"/>
      <c r="BF20" s="480" t="str">
        <f>IF(AND('Mapa final'!$K$118="Muy Alta",'Mapa final'!$O$118="Catastrófico"),CONCATENATE("R",'Mapa final'!$A$118),"")</f>
        <v/>
      </c>
      <c r="BG20" s="481"/>
      <c r="BH20" s="56"/>
      <c r="BI20" s="504"/>
      <c r="BJ20" s="505"/>
      <c r="BK20" s="505"/>
      <c r="BL20" s="505"/>
      <c r="BM20" s="505"/>
      <c r="BN20" s="50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row>
    <row r="21" spans="1:100" ht="15" customHeight="1" x14ac:dyDescent="0.35">
      <c r="A21" s="56"/>
      <c r="B21" s="307"/>
      <c r="C21" s="307"/>
      <c r="D21" s="308"/>
      <c r="E21" s="468"/>
      <c r="F21" s="469"/>
      <c r="G21" s="469"/>
      <c r="H21" s="469"/>
      <c r="I21" s="470"/>
      <c r="J21" s="450"/>
      <c r="K21" s="450"/>
      <c r="L21" s="450"/>
      <c r="M21" s="450"/>
      <c r="N21" s="450"/>
      <c r="O21" s="450"/>
      <c r="P21" s="450"/>
      <c r="Q21" s="450"/>
      <c r="R21" s="450"/>
      <c r="S21" s="450"/>
      <c r="T21" s="491"/>
      <c r="U21" s="450"/>
      <c r="V21" s="450"/>
      <c r="W21" s="450"/>
      <c r="X21" s="450"/>
      <c r="Y21" s="450"/>
      <c r="Z21" s="450"/>
      <c r="AA21" s="450"/>
      <c r="AB21" s="450"/>
      <c r="AC21" s="490"/>
      <c r="AD21" s="491"/>
      <c r="AE21" s="450"/>
      <c r="AF21" s="450"/>
      <c r="AG21" s="450"/>
      <c r="AH21" s="450"/>
      <c r="AI21" s="450"/>
      <c r="AJ21" s="450"/>
      <c r="AK21" s="450"/>
      <c r="AL21" s="450"/>
      <c r="AM21" s="490"/>
      <c r="AN21" s="491"/>
      <c r="AO21" s="450"/>
      <c r="AP21" s="450"/>
      <c r="AQ21" s="450"/>
      <c r="AR21" s="450"/>
      <c r="AS21" s="450"/>
      <c r="AT21" s="450"/>
      <c r="AU21" s="450"/>
      <c r="AV21" s="450"/>
      <c r="AW21" s="490"/>
      <c r="AX21" s="482"/>
      <c r="AY21" s="480"/>
      <c r="AZ21" s="480"/>
      <c r="BA21" s="480"/>
      <c r="BB21" s="480"/>
      <c r="BC21" s="480"/>
      <c r="BD21" s="480"/>
      <c r="BE21" s="480"/>
      <c r="BF21" s="480"/>
      <c r="BG21" s="481"/>
      <c r="BH21" s="56"/>
      <c r="BI21" s="504"/>
      <c r="BJ21" s="505"/>
      <c r="BK21" s="505"/>
      <c r="BL21" s="505"/>
      <c r="BM21" s="505"/>
      <c r="BN21" s="50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row>
    <row r="22" spans="1:100" ht="15" customHeight="1" x14ac:dyDescent="0.35">
      <c r="A22" s="56"/>
      <c r="B22" s="307"/>
      <c r="C22" s="307"/>
      <c r="D22" s="308"/>
      <c r="E22" s="468"/>
      <c r="F22" s="469"/>
      <c r="G22" s="469"/>
      <c r="H22" s="469"/>
      <c r="I22" s="470"/>
      <c r="J22" s="450" t="str">
        <f>IF(AND('Mapa final'!$K$121="Muy Alta",'Mapa final'!$O$121="Leve"),CONCATENATE("R",'Mapa final'!$A$121),"")</f>
        <v/>
      </c>
      <c r="K22" s="450"/>
      <c r="L22" s="450" t="str">
        <f>IF(AND('Mapa final'!$K$124="Muy Alta",'Mapa final'!$O$124="Leve"),CONCATENATE("R",'Mapa final'!$A$124),"")</f>
        <v/>
      </c>
      <c r="M22" s="450"/>
      <c r="N22" s="450" t="str">
        <f>IF(AND('Mapa final'!$K$127="Muy Alta",'Mapa final'!$O$127="Leve"),CONCATENATE("R",'Mapa final'!$A$127),"")</f>
        <v/>
      </c>
      <c r="O22" s="450"/>
      <c r="P22" s="450" t="str">
        <f>IF(AND('Mapa final'!$K$130="Muy Alta",'Mapa final'!$O$130="Leve"),CONCATENATE("R",'Mapa final'!$A$130),"")</f>
        <v/>
      </c>
      <c r="Q22" s="450"/>
      <c r="R22" s="450" t="str">
        <f>IF(AND('Mapa final'!$K$133="Muy Alta",'Mapa final'!$O$133="Leve"),CONCATENATE("R",'Mapa final'!$A$133),"")</f>
        <v/>
      </c>
      <c r="S22" s="450"/>
      <c r="T22" s="491" t="str">
        <f>IF(AND('Mapa final'!$K$121="Muy Alta",'Mapa final'!$O$121="Menor"),CONCATENATE("R",'Mapa final'!$A$121),"")</f>
        <v/>
      </c>
      <c r="U22" s="450"/>
      <c r="V22" s="450" t="str">
        <f>IF(AND('Mapa final'!$K$124="Muy Alta",'Mapa final'!$O$124="Menor"),CONCATENATE("R",'Mapa final'!$A$124),"")</f>
        <v/>
      </c>
      <c r="W22" s="450"/>
      <c r="X22" s="450" t="str">
        <f>IF(AND('Mapa final'!$K$127="Muy Alta",'Mapa final'!$O$127="Menor"),CONCATENATE("R",'Mapa final'!$A$127),"")</f>
        <v/>
      </c>
      <c r="Y22" s="450"/>
      <c r="Z22" s="450" t="str">
        <f>IF(AND('Mapa final'!$K$130="Muy Alta",'Mapa final'!$O$130="Menor"),CONCATENATE("R",'Mapa final'!$A$130),"")</f>
        <v/>
      </c>
      <c r="AA22" s="450"/>
      <c r="AB22" s="450" t="str">
        <f>IF(AND('Mapa final'!$K$133="Muy Alta",'Mapa final'!$O$133="Menor"),CONCATENATE("R",'Mapa final'!$A$133),"")</f>
        <v/>
      </c>
      <c r="AC22" s="490"/>
      <c r="AD22" s="491" t="str">
        <f>IF(AND('Mapa final'!$K$121="Muy Alta",'Mapa final'!$O$121="Moderado"),CONCATENATE("R",'Mapa final'!$A$121),"")</f>
        <v/>
      </c>
      <c r="AE22" s="450"/>
      <c r="AF22" s="450" t="str">
        <f>IF(AND('Mapa final'!$K$124="Muy Alta",'Mapa final'!$O$124="Moderado"),CONCATENATE("R",'Mapa final'!$A$124),"")</f>
        <v/>
      </c>
      <c r="AG22" s="450"/>
      <c r="AH22" s="450" t="str">
        <f>IF(AND('Mapa final'!$K$127="Muy Alta",'Mapa final'!$O$127="Moderado"),CONCATENATE("R",'Mapa final'!$A$127),"")</f>
        <v/>
      </c>
      <c r="AI22" s="450"/>
      <c r="AJ22" s="450" t="str">
        <f>IF(AND('Mapa final'!$K$130="Muy Alta",'Mapa final'!$O$130="Moderado"),CONCATENATE("R",'Mapa final'!$A$130),"")</f>
        <v/>
      </c>
      <c r="AK22" s="450"/>
      <c r="AL22" s="450" t="str">
        <f>IF(AND('Mapa final'!$K$133="Muy Alta",'Mapa final'!$O$133="Moderado"),CONCATENATE("R",'Mapa final'!$A$133),"")</f>
        <v/>
      </c>
      <c r="AM22" s="490"/>
      <c r="AN22" s="491" t="str">
        <f>IF(AND('Mapa final'!$K$121="Muy Alta",'Mapa final'!$O$121="Mayor"),CONCATENATE("R",'Mapa final'!$A$121),"")</f>
        <v/>
      </c>
      <c r="AO22" s="450"/>
      <c r="AP22" s="450" t="str">
        <f>IF(AND('Mapa final'!$K$124="Muy Alta",'Mapa final'!$O$124="Mayor"),CONCATENATE("R",'Mapa final'!$A$124),"")</f>
        <v/>
      </c>
      <c r="AQ22" s="450"/>
      <c r="AR22" s="450" t="str">
        <f>IF(AND('Mapa final'!$K$127="Muy Alta",'Mapa final'!$O$127="Mayor"),CONCATENATE("R",'Mapa final'!$A$127),"")</f>
        <v/>
      </c>
      <c r="AS22" s="450"/>
      <c r="AT22" s="450" t="str">
        <f>IF(AND('Mapa final'!$K$130="Muy Alta",'Mapa final'!$O$130="Mayor"),CONCATENATE("R",'Mapa final'!$A$130),"")</f>
        <v/>
      </c>
      <c r="AU22" s="450"/>
      <c r="AV22" s="450" t="str">
        <f>IF(AND('Mapa final'!$K$133="Muy Alta",'Mapa final'!$O$133="Mayor"),CONCATENATE("R",'Mapa final'!$A$133),"")</f>
        <v/>
      </c>
      <c r="AW22" s="490"/>
      <c r="AX22" s="482" t="str">
        <f>IF(AND('Mapa final'!$K$121="Muy Alta",'Mapa final'!$O$121="Catastrófico"),CONCATENATE("R",'Mapa final'!$A$121),"")</f>
        <v/>
      </c>
      <c r="AY22" s="480"/>
      <c r="AZ22" s="480" t="str">
        <f>IF(AND('Mapa final'!$K$124="Muy Alta",'Mapa final'!$O$124="Catastrófico"),CONCATENATE("R",'Mapa final'!$A$124),"")</f>
        <v/>
      </c>
      <c r="BA22" s="480"/>
      <c r="BB22" s="480" t="str">
        <f>IF(AND('Mapa final'!$K$127="Muy Alta",'Mapa final'!$O$127="Catastrófico"),CONCATENATE("R",'Mapa final'!$A$127),"")</f>
        <v/>
      </c>
      <c r="BC22" s="480"/>
      <c r="BD22" s="480" t="str">
        <f>IF(AND('Mapa final'!$K$130="Muy Alta",'Mapa final'!$O$130="Catastrófico"),CONCATENATE("R",'Mapa final'!$A$130),"")</f>
        <v/>
      </c>
      <c r="BE22" s="480"/>
      <c r="BF22" s="480" t="str">
        <f>IF(AND('Mapa final'!$K$133="Muy Alta",'Mapa final'!$O$133="Catastrófico"),CONCATENATE("R",'Mapa final'!$A$133),"")</f>
        <v/>
      </c>
      <c r="BG22" s="481"/>
      <c r="BH22" s="56"/>
      <c r="BI22" s="504"/>
      <c r="BJ22" s="505"/>
      <c r="BK22" s="505"/>
      <c r="BL22" s="505"/>
      <c r="BM22" s="505"/>
      <c r="BN22" s="50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row>
    <row r="23" spans="1:100" ht="15" customHeight="1" x14ac:dyDescent="0.35">
      <c r="A23" s="56"/>
      <c r="B23" s="307"/>
      <c r="C23" s="307"/>
      <c r="D23" s="308"/>
      <c r="E23" s="468"/>
      <c r="F23" s="469"/>
      <c r="G23" s="469"/>
      <c r="H23" s="469"/>
      <c r="I23" s="470"/>
      <c r="J23" s="450"/>
      <c r="K23" s="450"/>
      <c r="L23" s="450"/>
      <c r="M23" s="450"/>
      <c r="N23" s="450"/>
      <c r="O23" s="450"/>
      <c r="P23" s="450"/>
      <c r="Q23" s="450"/>
      <c r="R23" s="450"/>
      <c r="S23" s="450"/>
      <c r="T23" s="491"/>
      <c r="U23" s="450"/>
      <c r="V23" s="450"/>
      <c r="W23" s="450"/>
      <c r="X23" s="450"/>
      <c r="Y23" s="450"/>
      <c r="Z23" s="450"/>
      <c r="AA23" s="450"/>
      <c r="AB23" s="450"/>
      <c r="AC23" s="490"/>
      <c r="AD23" s="491"/>
      <c r="AE23" s="450"/>
      <c r="AF23" s="450"/>
      <c r="AG23" s="450"/>
      <c r="AH23" s="450"/>
      <c r="AI23" s="450"/>
      <c r="AJ23" s="450"/>
      <c r="AK23" s="450"/>
      <c r="AL23" s="450"/>
      <c r="AM23" s="490"/>
      <c r="AN23" s="491"/>
      <c r="AO23" s="450"/>
      <c r="AP23" s="450"/>
      <c r="AQ23" s="450"/>
      <c r="AR23" s="450"/>
      <c r="AS23" s="450"/>
      <c r="AT23" s="450"/>
      <c r="AU23" s="450"/>
      <c r="AV23" s="450"/>
      <c r="AW23" s="490"/>
      <c r="AX23" s="482"/>
      <c r="AY23" s="480"/>
      <c r="AZ23" s="480"/>
      <c r="BA23" s="480"/>
      <c r="BB23" s="480"/>
      <c r="BC23" s="480"/>
      <c r="BD23" s="480"/>
      <c r="BE23" s="480"/>
      <c r="BF23" s="480"/>
      <c r="BG23" s="481"/>
      <c r="BH23" s="56"/>
      <c r="BI23" s="504"/>
      <c r="BJ23" s="505"/>
      <c r="BK23" s="505"/>
      <c r="BL23" s="505"/>
      <c r="BM23" s="505"/>
      <c r="BN23" s="50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row>
    <row r="24" spans="1:100" ht="15" customHeight="1" x14ac:dyDescent="0.35">
      <c r="A24" s="56"/>
      <c r="B24" s="307"/>
      <c r="C24" s="307"/>
      <c r="D24" s="308"/>
      <c r="E24" s="468"/>
      <c r="F24" s="469"/>
      <c r="G24" s="469"/>
      <c r="H24" s="469"/>
      <c r="I24" s="470"/>
      <c r="J24" s="450" t="str">
        <f>IF(AND('Mapa final'!$K$136="Muy Alta",'Mapa final'!$O$136="Leve"),CONCATENATE("R",'Mapa final'!$A$136),"")</f>
        <v/>
      </c>
      <c r="K24" s="450"/>
      <c r="L24" s="450" t="str">
        <f>IF(AND('Mapa final'!$K$139="Muy Alta",'Mapa final'!$O$139="Leve"),CONCATENATE("R",'Mapa final'!$A$139),"")</f>
        <v/>
      </c>
      <c r="M24" s="450"/>
      <c r="N24" s="450" t="str">
        <f>IF(AND('Mapa final'!$K$142="Muy Alta",'Mapa final'!$O$142="Leve"),CONCATENATE("R",'Mapa final'!$A$142),"")</f>
        <v/>
      </c>
      <c r="O24" s="450"/>
      <c r="P24" s="450" t="str">
        <f>IF(AND('Mapa final'!$K$145="Muy Alta",'Mapa final'!$O$145="Leve"),CONCATENATE("R",'Mapa final'!$A$145),"")</f>
        <v/>
      </c>
      <c r="Q24" s="450"/>
      <c r="R24" s="450" t="str">
        <f>IF(AND('Mapa final'!$K$148="Muy Alta",'Mapa final'!$O$148="Leve"),CONCATENATE("R",'Mapa final'!$A$148),"")</f>
        <v/>
      </c>
      <c r="S24" s="450"/>
      <c r="T24" s="491" t="str">
        <f>IF(AND('Mapa final'!$K$136="Muy Alta",'Mapa final'!$O$136="Menor"),CONCATENATE("R",'Mapa final'!$A$136),"")</f>
        <v/>
      </c>
      <c r="U24" s="450"/>
      <c r="V24" s="450" t="str">
        <f>IF(AND('Mapa final'!$K$139="Muy Alta",'Mapa final'!$O$139="Menor"),CONCATENATE("R",'Mapa final'!$A$139),"")</f>
        <v/>
      </c>
      <c r="W24" s="450"/>
      <c r="X24" s="450" t="str">
        <f>IF(AND('Mapa final'!$K$142="Muy Alta",'Mapa final'!$O$142="Menor"),CONCATENATE("R",'Mapa final'!$A$142),"")</f>
        <v/>
      </c>
      <c r="Y24" s="450"/>
      <c r="Z24" s="450" t="str">
        <f>IF(AND('Mapa final'!$K$145="Muy Alta",'Mapa final'!$O$145="Menor"),CONCATENATE("R",'Mapa final'!$A$145),"")</f>
        <v/>
      </c>
      <c r="AA24" s="450"/>
      <c r="AB24" s="450" t="str">
        <f>IF(AND('Mapa final'!$K$148="Muy Alta",'Mapa final'!$O$148="Menor"),CONCATENATE("R",'Mapa final'!$A$148),"")</f>
        <v/>
      </c>
      <c r="AC24" s="490"/>
      <c r="AD24" s="491" t="str">
        <f>IF(AND('Mapa final'!$K$136="Muy Alta",'Mapa final'!$O$136="Moderado"),CONCATENATE("R",'Mapa final'!$A$136),"")</f>
        <v/>
      </c>
      <c r="AE24" s="450"/>
      <c r="AF24" s="450" t="str">
        <f>IF(AND('Mapa final'!$K$139="Muy Alta",'Mapa final'!$O$139="Moderado"),CONCATENATE("R",'Mapa final'!$A$139),"")</f>
        <v/>
      </c>
      <c r="AG24" s="450"/>
      <c r="AH24" s="450" t="str">
        <f>IF(AND('Mapa final'!$K$142="Muy Alta",'Mapa final'!$O$142="Moderado"),CONCATENATE("R",'Mapa final'!$A$142),"")</f>
        <v/>
      </c>
      <c r="AI24" s="450"/>
      <c r="AJ24" s="450" t="str">
        <f>IF(AND('Mapa final'!$K$145="Muy Alta",'Mapa final'!$O$145="Moderado"),CONCATENATE("R",'Mapa final'!$A$145),"")</f>
        <v/>
      </c>
      <c r="AK24" s="450"/>
      <c r="AL24" s="450" t="str">
        <f>IF(AND('Mapa final'!$K$148="Muy Alta",'Mapa final'!$O$148="Moderado"),CONCATENATE("R",'Mapa final'!$A$148),"")</f>
        <v/>
      </c>
      <c r="AM24" s="490"/>
      <c r="AN24" s="491" t="str">
        <f>IF(AND('Mapa final'!$K$136="Muy Alta",'Mapa final'!$O$136="Mayor"),CONCATENATE("R",'Mapa final'!$A$136),"")</f>
        <v/>
      </c>
      <c r="AO24" s="450"/>
      <c r="AP24" s="450" t="str">
        <f>IF(AND('Mapa final'!$K$139="Muy Alta",'Mapa final'!$O$139="Mayor"),CONCATENATE("R",'Mapa final'!$A$139),"")</f>
        <v/>
      </c>
      <c r="AQ24" s="450"/>
      <c r="AR24" s="450" t="str">
        <f>IF(AND('Mapa final'!$K$142="Muy Alta",'Mapa final'!$O$142="Mayor"),CONCATENATE("R",'Mapa final'!$A$142),"")</f>
        <v/>
      </c>
      <c r="AS24" s="450"/>
      <c r="AT24" s="450" t="str">
        <f>IF(AND('Mapa final'!$K$145="Muy Alta",'Mapa final'!$O$145="Mayor"),CONCATENATE("R",'Mapa final'!$A$145),"")</f>
        <v/>
      </c>
      <c r="AU24" s="450"/>
      <c r="AV24" s="450" t="str">
        <f>IF(AND('Mapa final'!$K$148="Muy Alta",'Mapa final'!$O$148="Mayor"),CONCATENATE("R",'Mapa final'!$A$148),"")</f>
        <v/>
      </c>
      <c r="AW24" s="490"/>
      <c r="AX24" s="482" t="str">
        <f>IF(AND('Mapa final'!$K$136="Muy Alta",'Mapa final'!$O$136="Catastrófico"),CONCATENATE("R",'Mapa final'!$A$136),"")</f>
        <v/>
      </c>
      <c r="AY24" s="480"/>
      <c r="AZ24" s="480" t="str">
        <f>IF(AND('Mapa final'!$K$139="Muy Alta",'Mapa final'!$O$139="Catastrófico"),CONCATENATE("R",'Mapa final'!$A$139),"")</f>
        <v/>
      </c>
      <c r="BA24" s="480"/>
      <c r="BB24" s="480" t="str">
        <f>IF(AND('Mapa final'!$K$142="Muy Alta",'Mapa final'!$O$142="Catastrófico"),CONCATENATE("R",'Mapa final'!$A$142),"")</f>
        <v/>
      </c>
      <c r="BC24" s="480"/>
      <c r="BD24" s="480" t="str">
        <f>IF(AND('Mapa final'!$K$145="Muy Alta",'Mapa final'!$O$145="Catastrófico"),CONCATENATE("R",'Mapa final'!$A$145),"")</f>
        <v/>
      </c>
      <c r="BE24" s="480"/>
      <c r="BF24" s="480" t="str">
        <f>IF(AND('Mapa final'!$K$148="Muy Alta",'Mapa final'!$O$148="Catastrófico"),CONCATENATE("R",'Mapa final'!$A$148),"")</f>
        <v/>
      </c>
      <c r="BG24" s="481"/>
      <c r="BH24" s="56"/>
      <c r="BI24" s="504"/>
      <c r="BJ24" s="505"/>
      <c r="BK24" s="505"/>
      <c r="BL24" s="505"/>
      <c r="BM24" s="505"/>
      <c r="BN24" s="50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row>
    <row r="25" spans="1:100" ht="15.75" customHeight="1" thickBot="1" x14ac:dyDescent="0.4">
      <c r="A25" s="56"/>
      <c r="B25" s="307"/>
      <c r="C25" s="307"/>
      <c r="D25" s="308"/>
      <c r="E25" s="471"/>
      <c r="F25" s="472"/>
      <c r="G25" s="472"/>
      <c r="H25" s="472"/>
      <c r="I25" s="473"/>
      <c r="J25" s="450"/>
      <c r="K25" s="450"/>
      <c r="L25" s="450"/>
      <c r="M25" s="450"/>
      <c r="N25" s="450"/>
      <c r="O25" s="450"/>
      <c r="P25" s="450"/>
      <c r="Q25" s="450"/>
      <c r="R25" s="450"/>
      <c r="S25" s="450"/>
      <c r="T25" s="492"/>
      <c r="U25" s="489"/>
      <c r="V25" s="489"/>
      <c r="W25" s="489"/>
      <c r="X25" s="489"/>
      <c r="Y25" s="489"/>
      <c r="Z25" s="489"/>
      <c r="AA25" s="489"/>
      <c r="AB25" s="489"/>
      <c r="AC25" s="493"/>
      <c r="AD25" s="492"/>
      <c r="AE25" s="489"/>
      <c r="AF25" s="489"/>
      <c r="AG25" s="489"/>
      <c r="AH25" s="489"/>
      <c r="AI25" s="489"/>
      <c r="AJ25" s="489"/>
      <c r="AK25" s="489"/>
      <c r="AL25" s="489"/>
      <c r="AM25" s="493"/>
      <c r="AN25" s="492"/>
      <c r="AO25" s="489"/>
      <c r="AP25" s="489"/>
      <c r="AQ25" s="489"/>
      <c r="AR25" s="489"/>
      <c r="AS25" s="489"/>
      <c r="AT25" s="489"/>
      <c r="AU25" s="489"/>
      <c r="AV25" s="489"/>
      <c r="AW25" s="493"/>
      <c r="AX25" s="483"/>
      <c r="AY25" s="484"/>
      <c r="AZ25" s="484"/>
      <c r="BA25" s="484"/>
      <c r="BB25" s="484"/>
      <c r="BC25" s="484"/>
      <c r="BD25" s="484"/>
      <c r="BE25" s="484"/>
      <c r="BF25" s="484"/>
      <c r="BG25" s="485"/>
      <c r="BH25" s="56"/>
      <c r="BI25" s="504"/>
      <c r="BJ25" s="505"/>
      <c r="BK25" s="505"/>
      <c r="BL25" s="505"/>
      <c r="BM25" s="505"/>
      <c r="BN25" s="50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row>
    <row r="26" spans="1:100" ht="15" customHeight="1" x14ac:dyDescent="0.35">
      <c r="A26" s="56"/>
      <c r="B26" s="307"/>
      <c r="C26" s="307"/>
      <c r="D26" s="308"/>
      <c r="E26" s="465" t="s">
        <v>106</v>
      </c>
      <c r="F26" s="466"/>
      <c r="G26" s="466"/>
      <c r="H26" s="466"/>
      <c r="I26" s="466"/>
      <c r="J26" s="478" t="str">
        <f>IF(AND('Mapa final'!$K$7="Alta",'Mapa final'!$O$7="Leve"),CONCATENATE("R",'Mapa final'!$A$7),"")</f>
        <v/>
      </c>
      <c r="K26" s="463"/>
      <c r="L26" s="463" t="str">
        <f>IF(AND('Mapa final'!$K$10="Alta",'Mapa final'!$O$10="Leve"),CONCATENATE("R",'Mapa final'!$A$10),"")</f>
        <v/>
      </c>
      <c r="M26" s="463"/>
      <c r="N26" s="463" t="str">
        <f>IF(AND('Mapa final'!$K$13="Alta",'Mapa final'!$O$13="Leve"),CONCATENATE("R",'Mapa final'!$A$13),"")</f>
        <v/>
      </c>
      <c r="O26" s="463"/>
      <c r="P26" s="463" t="e">
        <f>IF(AND('Mapa final'!#REF!="Alta",'Mapa final'!#REF!="Leve"),CONCATENATE("R",'Mapa final'!#REF!),"")</f>
        <v>#REF!</v>
      </c>
      <c r="Q26" s="463"/>
      <c r="R26" s="463" t="e">
        <f>IF(AND('Mapa final'!#REF!="Alta",'Mapa final'!#REF!="Leve"),CONCATENATE("R",'Mapa final'!#REF!),"")</f>
        <v>#REF!</v>
      </c>
      <c r="S26" s="479"/>
      <c r="T26" s="478" t="str">
        <f>IF(AND('Mapa final'!$K$7="Alta",'Mapa final'!$O$7="Menor"),CONCATENATE("R",'Mapa final'!$A$7),"")</f>
        <v/>
      </c>
      <c r="U26" s="463"/>
      <c r="V26" s="463" t="str">
        <f>IF(AND('Mapa final'!$K$10="Alta",'Mapa final'!$O$10="Menor"),CONCATENATE("R",'Mapa final'!$A$10),"")</f>
        <v/>
      </c>
      <c r="W26" s="463"/>
      <c r="X26" s="463" t="str">
        <f>IF(AND('Mapa final'!$K$13="Alta",'Mapa final'!$O$13="Menor"),CONCATENATE("R",'Mapa final'!$A$13),"")</f>
        <v/>
      </c>
      <c r="Y26" s="463"/>
      <c r="Z26" s="463" t="e">
        <f>IF(AND('Mapa final'!#REF!="Alta",'Mapa final'!#REF!="Menor"),CONCATENATE("R",'Mapa final'!#REF!),"")</f>
        <v>#REF!</v>
      </c>
      <c r="AA26" s="463"/>
      <c r="AB26" s="463" t="e">
        <f>IF(AND('Mapa final'!#REF!="Alta",'Mapa final'!#REF!="Menor"),CONCATENATE("R",'Mapa final'!#REF!),"")</f>
        <v>#REF!</v>
      </c>
      <c r="AC26" s="479"/>
      <c r="AD26" s="494" t="str">
        <f>IF(AND('Mapa final'!$K$7="Alta",'Mapa final'!$O$7="Moderado"),CONCATENATE("R",'Mapa final'!$A$7),"")</f>
        <v/>
      </c>
      <c r="AE26" s="495"/>
      <c r="AF26" s="495" t="str">
        <f>IF(AND('Mapa final'!$K$10="Alta",'Mapa final'!$O$10="Moderado"),CONCATENATE("R",'Mapa final'!$A$10),"")</f>
        <v/>
      </c>
      <c r="AG26" s="495"/>
      <c r="AH26" s="495" t="str">
        <f>IF(AND('Mapa final'!$K$13="Alta",'Mapa final'!$O$13="Moderado"),CONCATENATE("R",'Mapa final'!$A$13),"")</f>
        <v>R3</v>
      </c>
      <c r="AI26" s="495"/>
      <c r="AJ26" s="495" t="e">
        <f>IF(AND('Mapa final'!#REF!="Alta",'Mapa final'!#REF!="Moderado"),CONCATENATE("R",'Mapa final'!#REF!),"")</f>
        <v>#REF!</v>
      </c>
      <c r="AK26" s="495"/>
      <c r="AL26" s="495" t="e">
        <f>IF(AND('Mapa final'!#REF!="Alta",'Mapa final'!#REF!="Moderado"),CONCATENATE("R",'Mapa final'!#REF!),"")</f>
        <v>#REF!</v>
      </c>
      <c r="AM26" s="496"/>
      <c r="AN26" s="494" t="str">
        <f>IF(AND('Mapa final'!$K$7="Alta",'Mapa final'!$O$7="Mayor"),CONCATENATE("R",'Mapa final'!$A$7),"")</f>
        <v/>
      </c>
      <c r="AO26" s="495"/>
      <c r="AP26" s="495" t="str">
        <f>IF(AND('Mapa final'!$K$10="Alta",'Mapa final'!$O$10="Mayor"),CONCATENATE("R",'Mapa final'!$A$10),"")</f>
        <v/>
      </c>
      <c r="AQ26" s="495"/>
      <c r="AR26" s="495" t="str">
        <f>IF(AND('Mapa final'!$K$13="Alta",'Mapa final'!$O$13="Mayor"),CONCATENATE("R",'Mapa final'!$A$13),"")</f>
        <v/>
      </c>
      <c r="AS26" s="495"/>
      <c r="AT26" s="495" t="e">
        <f>IF(AND('Mapa final'!#REF!="Alta",'Mapa final'!#REF!="Mayor"),CONCATENATE("R",'Mapa final'!#REF!),"")</f>
        <v>#REF!</v>
      </c>
      <c r="AU26" s="495"/>
      <c r="AV26" s="495" t="e">
        <f>IF(AND('Mapa final'!#REF!="Alta",'Mapa final'!#REF!="Mayor"),CONCATENATE("R",'Mapa final'!#REF!),"")</f>
        <v>#REF!</v>
      </c>
      <c r="AW26" s="496"/>
      <c r="AX26" s="486" t="str">
        <f>IF(AND('Mapa final'!$K$7="Alta",'Mapa final'!$O$7="Catastrófico"),CONCATENATE("R",'Mapa final'!$A$7),"")</f>
        <v/>
      </c>
      <c r="AY26" s="487"/>
      <c r="AZ26" s="487" t="str">
        <f>IF(AND('Mapa final'!$K$10="Alta",'Mapa final'!$O$10="Catastrófico"),CONCATENATE("R",'Mapa final'!$A$10),"")</f>
        <v/>
      </c>
      <c r="BA26" s="487"/>
      <c r="BB26" s="487" t="str">
        <f>IF(AND('Mapa final'!$K$13="Alta",'Mapa final'!$O$13="Catastrófico"),CONCATENATE("R",'Mapa final'!$A$13),"")</f>
        <v/>
      </c>
      <c r="BC26" s="487"/>
      <c r="BD26" s="487" t="e">
        <f>IF(AND('Mapa final'!#REF!="Alta",'Mapa final'!#REF!="Catastrófico"),CONCATENATE("R",'Mapa final'!#REF!),"")</f>
        <v>#REF!</v>
      </c>
      <c r="BE26" s="487"/>
      <c r="BF26" s="487" t="e">
        <f>IF(AND('Mapa final'!#REF!="Alta",'Mapa final'!#REF!="Catastrófico"),CONCATENATE("R",'Mapa final'!#REF!),"")</f>
        <v>#REF!</v>
      </c>
      <c r="BG26" s="488"/>
      <c r="BH26" s="56"/>
      <c r="BI26" s="504"/>
      <c r="BJ26" s="505"/>
      <c r="BK26" s="505"/>
      <c r="BL26" s="505"/>
      <c r="BM26" s="505"/>
      <c r="BN26" s="50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row>
    <row r="27" spans="1:100" ht="15" customHeight="1" x14ac:dyDescent="0.35">
      <c r="A27" s="56"/>
      <c r="B27" s="307"/>
      <c r="C27" s="307"/>
      <c r="D27" s="308"/>
      <c r="E27" s="468"/>
      <c r="F27" s="469"/>
      <c r="G27" s="469"/>
      <c r="H27" s="469"/>
      <c r="I27" s="474"/>
      <c r="J27" s="457"/>
      <c r="K27" s="458"/>
      <c r="L27" s="458"/>
      <c r="M27" s="458"/>
      <c r="N27" s="458"/>
      <c r="O27" s="458"/>
      <c r="P27" s="458"/>
      <c r="Q27" s="458"/>
      <c r="R27" s="458"/>
      <c r="S27" s="461"/>
      <c r="T27" s="457"/>
      <c r="U27" s="458"/>
      <c r="V27" s="458"/>
      <c r="W27" s="458"/>
      <c r="X27" s="458"/>
      <c r="Y27" s="458"/>
      <c r="Z27" s="458"/>
      <c r="AA27" s="458"/>
      <c r="AB27" s="458"/>
      <c r="AC27" s="461"/>
      <c r="AD27" s="491"/>
      <c r="AE27" s="450"/>
      <c r="AF27" s="450"/>
      <c r="AG27" s="450"/>
      <c r="AH27" s="450"/>
      <c r="AI27" s="450"/>
      <c r="AJ27" s="450"/>
      <c r="AK27" s="450"/>
      <c r="AL27" s="450"/>
      <c r="AM27" s="490"/>
      <c r="AN27" s="491"/>
      <c r="AO27" s="450"/>
      <c r="AP27" s="450"/>
      <c r="AQ27" s="450"/>
      <c r="AR27" s="450"/>
      <c r="AS27" s="450"/>
      <c r="AT27" s="450"/>
      <c r="AU27" s="450"/>
      <c r="AV27" s="450"/>
      <c r="AW27" s="490"/>
      <c r="AX27" s="482"/>
      <c r="AY27" s="480"/>
      <c r="AZ27" s="480"/>
      <c r="BA27" s="480"/>
      <c r="BB27" s="480"/>
      <c r="BC27" s="480"/>
      <c r="BD27" s="480"/>
      <c r="BE27" s="480"/>
      <c r="BF27" s="480"/>
      <c r="BG27" s="481"/>
      <c r="BH27" s="56"/>
      <c r="BI27" s="504"/>
      <c r="BJ27" s="505"/>
      <c r="BK27" s="505"/>
      <c r="BL27" s="505"/>
      <c r="BM27" s="505"/>
      <c r="BN27" s="50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row>
    <row r="28" spans="1:100" ht="15" customHeight="1" x14ac:dyDescent="0.35">
      <c r="A28" s="56"/>
      <c r="B28" s="307"/>
      <c r="C28" s="307"/>
      <c r="D28" s="308"/>
      <c r="E28" s="468"/>
      <c r="F28" s="469"/>
      <c r="G28" s="469"/>
      <c r="H28" s="469"/>
      <c r="I28" s="474"/>
      <c r="J28" s="457" t="str">
        <f>IF(AND('Mapa final'!$K$16="Alta",'Mapa final'!$O$16="Leve"),CONCATENATE("R",'Mapa final'!$A$16),"")</f>
        <v/>
      </c>
      <c r="K28" s="458"/>
      <c r="L28" s="458" t="str">
        <f>IF(AND('Mapa final'!$K$19="Alta",'Mapa final'!$O$19="Leve"),CONCATENATE("R",'Mapa final'!$A$19),"")</f>
        <v/>
      </c>
      <c r="M28" s="458"/>
      <c r="N28" s="458" t="str">
        <f>IF(AND('Mapa final'!$K$22="Alta",'Mapa final'!$O$22="Leve"),CONCATENATE("R",'Mapa final'!$A$22),"")</f>
        <v/>
      </c>
      <c r="O28" s="458"/>
      <c r="P28" s="458" t="str">
        <f>IF(AND('Mapa final'!$K$25="Alta",'Mapa final'!$O$25="Leve"),CONCATENATE("R",'Mapa final'!$A$25),"")</f>
        <v/>
      </c>
      <c r="Q28" s="458"/>
      <c r="R28" s="458" t="str">
        <f>IF(AND('Mapa final'!$K$28="Alta",'Mapa final'!$O$28="Leve"),CONCATENATE("R",'Mapa final'!$A$28),"")</f>
        <v/>
      </c>
      <c r="S28" s="461"/>
      <c r="T28" s="457" t="str">
        <f>IF(AND('Mapa final'!$K$16="Alta",'Mapa final'!$O$16="Menor"),CONCATENATE("R",'Mapa final'!$A$16),"")</f>
        <v/>
      </c>
      <c r="U28" s="458"/>
      <c r="V28" s="458" t="str">
        <f>IF(AND('Mapa final'!$K$19="Alta",'Mapa final'!$O$19="Menor"),CONCATENATE("R",'Mapa final'!$A$19),"")</f>
        <v/>
      </c>
      <c r="W28" s="458"/>
      <c r="X28" s="458" t="str">
        <f>IF(AND('Mapa final'!$K$22="Alta",'Mapa final'!$O$22="Menor"),CONCATENATE("R",'Mapa final'!$A$22),"")</f>
        <v/>
      </c>
      <c r="Y28" s="458"/>
      <c r="Z28" s="458" t="str">
        <f>IF(AND('Mapa final'!$K$25="Alta",'Mapa final'!$O$25="Menor"),CONCATENATE("R",'Mapa final'!$A$25),"")</f>
        <v/>
      </c>
      <c r="AA28" s="458"/>
      <c r="AB28" s="458" t="str">
        <f>IF(AND('Mapa final'!$K$28="Alta",'Mapa final'!$O$28="Menor"),CONCATENATE("R",'Mapa final'!$A$28),"")</f>
        <v/>
      </c>
      <c r="AC28" s="461"/>
      <c r="AD28" s="491" t="str">
        <f>IF(AND('Mapa final'!$K$16="Alta",'Mapa final'!$O$16="Moderado"),CONCATENATE("R",'Mapa final'!$A$16),"")</f>
        <v/>
      </c>
      <c r="AE28" s="450"/>
      <c r="AF28" s="450" t="str">
        <f>IF(AND('Mapa final'!$K$19="Alta",'Mapa final'!$O$19="Moderado"),CONCATENATE("R",'Mapa final'!$A$19),"")</f>
        <v/>
      </c>
      <c r="AG28" s="450"/>
      <c r="AH28" s="450" t="str">
        <f>IF(AND('Mapa final'!$K$22="Alta",'Mapa final'!$O$22="Moderado"),CONCATENATE("R",'Mapa final'!$A$22),"")</f>
        <v>R7</v>
      </c>
      <c r="AI28" s="450"/>
      <c r="AJ28" s="450" t="str">
        <f>IF(AND('Mapa final'!$K$25="Alta",'Mapa final'!$O$25="Moderado"),CONCATENATE("R",'Mapa final'!$A$25),"")</f>
        <v/>
      </c>
      <c r="AK28" s="450"/>
      <c r="AL28" s="450" t="str">
        <f>IF(AND('Mapa final'!$K$28="Alta",'Mapa final'!$O$28="Moderado"),CONCATENATE("R",'Mapa final'!$A$28),"")</f>
        <v>R9</v>
      </c>
      <c r="AM28" s="490"/>
      <c r="AN28" s="491" t="str">
        <f>IF(AND('Mapa final'!$K$16="Alta",'Mapa final'!$O$16="Mayor"),CONCATENATE("R",'Mapa final'!$A$16),"")</f>
        <v/>
      </c>
      <c r="AO28" s="450"/>
      <c r="AP28" s="450" t="str">
        <f>IF(AND('Mapa final'!$K$19="Alta",'Mapa final'!$O$19="Mayor"),CONCATENATE("R",'Mapa final'!$A$19),"")</f>
        <v/>
      </c>
      <c r="AQ28" s="450"/>
      <c r="AR28" s="450" t="str">
        <f>IF(AND('Mapa final'!$K$22="Alta",'Mapa final'!$O$22="Mayor"),CONCATENATE("R",'Mapa final'!$A$22),"")</f>
        <v/>
      </c>
      <c r="AS28" s="450"/>
      <c r="AT28" s="450" t="str">
        <f>IF(AND('Mapa final'!$K$25="Alta",'Mapa final'!$O$25="Mayor"),CONCATENATE("R",'Mapa final'!$A$25),"")</f>
        <v>R8</v>
      </c>
      <c r="AU28" s="450"/>
      <c r="AV28" s="450" t="str">
        <f>IF(AND('Mapa final'!$K$28="Alta",'Mapa final'!$O$28="Mayor"),CONCATENATE("R",'Mapa final'!$A$28),"")</f>
        <v/>
      </c>
      <c r="AW28" s="490"/>
      <c r="AX28" s="482" t="str">
        <f>IF(AND('Mapa final'!$K$16="Alta",'Mapa final'!$O$16="Catastrófico"),CONCATENATE("R",'Mapa final'!$A$16),"")</f>
        <v/>
      </c>
      <c r="AY28" s="480"/>
      <c r="AZ28" s="480" t="str">
        <f>IF(AND('Mapa final'!$K$19="Alta",'Mapa final'!$O$19="Catastrófico"),CONCATENATE("R",'Mapa final'!$A$19),"")</f>
        <v/>
      </c>
      <c r="BA28" s="480"/>
      <c r="BB28" s="480" t="str">
        <f>IF(AND('Mapa final'!$K$22="Alta",'Mapa final'!$O$22="Catastrófico"),CONCATENATE("R",'Mapa final'!$A$22),"")</f>
        <v/>
      </c>
      <c r="BC28" s="480"/>
      <c r="BD28" s="480" t="str">
        <f>IF(AND('Mapa final'!$K$25="Alta",'Mapa final'!$O$25="Catastrófico"),CONCATENATE("R",'Mapa final'!$A$25),"")</f>
        <v/>
      </c>
      <c r="BE28" s="480"/>
      <c r="BF28" s="480" t="str">
        <f>IF(AND('Mapa final'!$K$28="Alta",'Mapa final'!$O$28="Catastrófico"),CONCATENATE("R",'Mapa final'!$A$28),"")</f>
        <v/>
      </c>
      <c r="BG28" s="481"/>
      <c r="BH28" s="56"/>
      <c r="BI28" s="504"/>
      <c r="BJ28" s="505"/>
      <c r="BK28" s="505"/>
      <c r="BL28" s="505"/>
      <c r="BM28" s="505"/>
      <c r="BN28" s="50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row>
    <row r="29" spans="1:100" ht="15" customHeight="1" x14ac:dyDescent="0.35">
      <c r="A29" s="56"/>
      <c r="B29" s="307"/>
      <c r="C29" s="307"/>
      <c r="D29" s="308"/>
      <c r="E29" s="468"/>
      <c r="F29" s="469"/>
      <c r="G29" s="469"/>
      <c r="H29" s="469"/>
      <c r="I29" s="474"/>
      <c r="J29" s="457"/>
      <c r="K29" s="458"/>
      <c r="L29" s="458"/>
      <c r="M29" s="458"/>
      <c r="N29" s="458"/>
      <c r="O29" s="458"/>
      <c r="P29" s="458"/>
      <c r="Q29" s="458"/>
      <c r="R29" s="458"/>
      <c r="S29" s="461"/>
      <c r="T29" s="457"/>
      <c r="U29" s="458"/>
      <c r="V29" s="458"/>
      <c r="W29" s="458"/>
      <c r="X29" s="458"/>
      <c r="Y29" s="458"/>
      <c r="Z29" s="458"/>
      <c r="AA29" s="458"/>
      <c r="AB29" s="458"/>
      <c r="AC29" s="461"/>
      <c r="AD29" s="491"/>
      <c r="AE29" s="450"/>
      <c r="AF29" s="450"/>
      <c r="AG29" s="450"/>
      <c r="AH29" s="450"/>
      <c r="AI29" s="450"/>
      <c r="AJ29" s="450"/>
      <c r="AK29" s="450"/>
      <c r="AL29" s="450"/>
      <c r="AM29" s="490"/>
      <c r="AN29" s="491"/>
      <c r="AO29" s="450"/>
      <c r="AP29" s="450"/>
      <c r="AQ29" s="450"/>
      <c r="AR29" s="450"/>
      <c r="AS29" s="450"/>
      <c r="AT29" s="450"/>
      <c r="AU29" s="450"/>
      <c r="AV29" s="450"/>
      <c r="AW29" s="490"/>
      <c r="AX29" s="482"/>
      <c r="AY29" s="480"/>
      <c r="AZ29" s="480"/>
      <c r="BA29" s="480"/>
      <c r="BB29" s="480"/>
      <c r="BC29" s="480"/>
      <c r="BD29" s="480"/>
      <c r="BE29" s="480"/>
      <c r="BF29" s="480"/>
      <c r="BG29" s="481"/>
      <c r="BH29" s="56"/>
      <c r="BI29" s="504"/>
      <c r="BJ29" s="505"/>
      <c r="BK29" s="505"/>
      <c r="BL29" s="505"/>
      <c r="BM29" s="505"/>
      <c r="BN29" s="50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row>
    <row r="30" spans="1:100" ht="15" customHeight="1" x14ac:dyDescent="0.35">
      <c r="A30" s="56"/>
      <c r="B30" s="307"/>
      <c r="C30" s="307"/>
      <c r="D30" s="308"/>
      <c r="E30" s="468"/>
      <c r="F30" s="469"/>
      <c r="G30" s="469"/>
      <c r="H30" s="469"/>
      <c r="I30" s="474"/>
      <c r="J30" s="457" t="str">
        <f>IF(AND('Mapa final'!$K$31="Alta",'Mapa final'!$O$31="Leve"),CONCATENATE("R",'Mapa final'!$A$31),"")</f>
        <v/>
      </c>
      <c r="K30" s="458"/>
      <c r="L30" s="458" t="str">
        <f>IF(AND('Mapa final'!$K$34="Alta",'Mapa final'!$O$34="Leve"),CONCATENATE("R",'Mapa final'!$A$34),"")</f>
        <v/>
      </c>
      <c r="M30" s="458"/>
      <c r="N30" s="458" t="str">
        <f>IF(AND('Mapa final'!$K$37="Alta",'Mapa final'!$O$37="Leve"),CONCATENATE("R",'Mapa final'!$A$37),"")</f>
        <v/>
      </c>
      <c r="O30" s="458"/>
      <c r="P30" s="458" t="str">
        <f>IF(AND('Mapa final'!$K$40="Alta",'Mapa final'!$O$40="Leve"),CONCATENATE("R",'Mapa final'!$A$40),"")</f>
        <v/>
      </c>
      <c r="Q30" s="458"/>
      <c r="R30" s="458" t="str">
        <f>IF(AND('Mapa final'!$K$43="Alta",'Mapa final'!$O$43="Leve"),CONCATENATE("R",'Mapa final'!$A$43),"")</f>
        <v/>
      </c>
      <c r="S30" s="461"/>
      <c r="T30" s="457" t="str">
        <f>IF(AND('Mapa final'!$K$31="Alta",'Mapa final'!$O$31="Menor"),CONCATENATE("R",'Mapa final'!$A$31),"")</f>
        <v/>
      </c>
      <c r="U30" s="458"/>
      <c r="V30" s="458" t="str">
        <f>IF(AND('Mapa final'!$K$34="Alta",'Mapa final'!$O$34="Menor"),CONCATENATE("R",'Mapa final'!$A$34),"")</f>
        <v/>
      </c>
      <c r="W30" s="458"/>
      <c r="X30" s="458" t="str">
        <f>IF(AND('Mapa final'!$K$37="Alta",'Mapa final'!$O$37="Menor"),CONCATENATE("R",'Mapa final'!$A$37),"")</f>
        <v/>
      </c>
      <c r="Y30" s="458"/>
      <c r="Z30" s="458" t="str">
        <f>IF(AND('Mapa final'!$K$40="Alta",'Mapa final'!$O$40="Menor"),CONCATENATE("R",'Mapa final'!$A$40),"")</f>
        <v/>
      </c>
      <c r="AA30" s="458"/>
      <c r="AB30" s="458" t="str">
        <f>IF(AND('Mapa final'!$K$43="Alta",'Mapa final'!$O$43="Menor"),CONCATENATE("R",'Mapa final'!$A$43),"")</f>
        <v/>
      </c>
      <c r="AC30" s="461"/>
      <c r="AD30" s="491" t="str">
        <f>IF(AND('Mapa final'!$K$31="Alta",'Mapa final'!$O$31="Moderado"),CONCATENATE("R",'Mapa final'!$A$31),"")</f>
        <v/>
      </c>
      <c r="AE30" s="450"/>
      <c r="AF30" s="450" t="str">
        <f>IF(AND('Mapa final'!$K$34="Alta",'Mapa final'!$O$34="Moderado"),CONCATENATE("R",'Mapa final'!$A$34),"")</f>
        <v/>
      </c>
      <c r="AG30" s="450"/>
      <c r="AH30" s="450" t="str">
        <f>IF(AND('Mapa final'!$K$37="Alta",'Mapa final'!$O$37="Moderado"),CONCATENATE("R",'Mapa final'!$A$37),"")</f>
        <v/>
      </c>
      <c r="AI30" s="450"/>
      <c r="AJ30" s="450" t="str">
        <f>IF(AND('Mapa final'!$K$40="Alta",'Mapa final'!$O$40="Moderado"),CONCATENATE("R",'Mapa final'!$A$40),"")</f>
        <v/>
      </c>
      <c r="AK30" s="450"/>
      <c r="AL30" s="450" t="str">
        <f>IF(AND('Mapa final'!$K$43="Alta",'Mapa final'!$O$43="Moderado"),CONCATENATE("R",'Mapa final'!$A$43),"")</f>
        <v>R14</v>
      </c>
      <c r="AM30" s="490"/>
      <c r="AN30" s="491" t="str">
        <f>IF(AND('Mapa final'!$K$31="Alta",'Mapa final'!$O$31="Mayor"),CONCATENATE("R",'Mapa final'!$A$31),"")</f>
        <v/>
      </c>
      <c r="AO30" s="450"/>
      <c r="AP30" s="450" t="str">
        <f>IF(AND('Mapa final'!$K$34="Alta",'Mapa final'!$O$34="Mayor"),CONCATENATE("R",'Mapa final'!$A$34),"")</f>
        <v/>
      </c>
      <c r="AQ30" s="450"/>
      <c r="AR30" s="450" t="str">
        <f>IF(AND('Mapa final'!$K$37="Alta",'Mapa final'!$O$37="Mayor"),CONCATENATE("R",'Mapa final'!$A$37),"")</f>
        <v/>
      </c>
      <c r="AS30" s="450"/>
      <c r="AT30" s="450" t="str">
        <f>IF(AND('Mapa final'!$K$40="Alta",'Mapa final'!$O$40="Mayor"),CONCATENATE("R",'Mapa final'!$A$40),"")</f>
        <v/>
      </c>
      <c r="AU30" s="450"/>
      <c r="AV30" s="450" t="str">
        <f>IF(AND('Mapa final'!$K$43="Alta",'Mapa final'!$O$43="Mayor"),CONCATENATE("R",'Mapa final'!$A$43),"")</f>
        <v/>
      </c>
      <c r="AW30" s="490"/>
      <c r="AX30" s="482" t="str">
        <f>IF(AND('Mapa final'!$K$31="Alta",'Mapa final'!$O$31="Catastrófico"),CONCATENATE("R",'Mapa final'!$A$31),"")</f>
        <v/>
      </c>
      <c r="AY30" s="480"/>
      <c r="AZ30" s="480" t="str">
        <f>IF(AND('Mapa final'!$K$34="Alta",'Mapa final'!$O$34="Catastrófico"),CONCATENATE("R",'Mapa final'!$A$34),"")</f>
        <v/>
      </c>
      <c r="BA30" s="480"/>
      <c r="BB30" s="480" t="str">
        <f>IF(AND('Mapa final'!$K$37="Alta",'Mapa final'!$O$37="Catastrófico"),CONCATENATE("R",'Mapa final'!$A$37),"")</f>
        <v/>
      </c>
      <c r="BC30" s="480"/>
      <c r="BD30" s="480" t="str">
        <f>IF(AND('Mapa final'!$K$40="Alta",'Mapa final'!$O$40="Catastrófico"),CONCATENATE("R",'Mapa final'!$A$40),"")</f>
        <v/>
      </c>
      <c r="BE30" s="480"/>
      <c r="BF30" s="480" t="str">
        <f>IF(AND('Mapa final'!$K$43="Alta",'Mapa final'!$O$43="Catastrófico"),CONCATENATE("R",'Mapa final'!$A$43),"")</f>
        <v/>
      </c>
      <c r="BG30" s="481"/>
      <c r="BH30" s="56"/>
      <c r="BI30" s="504"/>
      <c r="BJ30" s="505"/>
      <c r="BK30" s="505"/>
      <c r="BL30" s="505"/>
      <c r="BM30" s="505"/>
      <c r="BN30" s="50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row>
    <row r="31" spans="1:100" ht="15" customHeight="1" x14ac:dyDescent="0.35">
      <c r="A31" s="56"/>
      <c r="B31" s="307"/>
      <c r="C31" s="307"/>
      <c r="D31" s="308"/>
      <c r="E31" s="468"/>
      <c r="F31" s="469"/>
      <c r="G31" s="469"/>
      <c r="H31" s="469"/>
      <c r="I31" s="474"/>
      <c r="J31" s="457"/>
      <c r="K31" s="458"/>
      <c r="L31" s="458"/>
      <c r="M31" s="458"/>
      <c r="N31" s="458"/>
      <c r="O31" s="458"/>
      <c r="P31" s="458"/>
      <c r="Q31" s="458"/>
      <c r="R31" s="458"/>
      <c r="S31" s="461"/>
      <c r="T31" s="457"/>
      <c r="U31" s="458"/>
      <c r="V31" s="458"/>
      <c r="W31" s="458"/>
      <c r="X31" s="458"/>
      <c r="Y31" s="458"/>
      <c r="Z31" s="458"/>
      <c r="AA31" s="458"/>
      <c r="AB31" s="458"/>
      <c r="AC31" s="461"/>
      <c r="AD31" s="491"/>
      <c r="AE31" s="450"/>
      <c r="AF31" s="450"/>
      <c r="AG31" s="450"/>
      <c r="AH31" s="450"/>
      <c r="AI31" s="450"/>
      <c r="AJ31" s="450"/>
      <c r="AK31" s="450"/>
      <c r="AL31" s="450"/>
      <c r="AM31" s="490"/>
      <c r="AN31" s="491"/>
      <c r="AO31" s="450"/>
      <c r="AP31" s="450"/>
      <c r="AQ31" s="450"/>
      <c r="AR31" s="450"/>
      <c r="AS31" s="450"/>
      <c r="AT31" s="450"/>
      <c r="AU31" s="450"/>
      <c r="AV31" s="450"/>
      <c r="AW31" s="490"/>
      <c r="AX31" s="482"/>
      <c r="AY31" s="480"/>
      <c r="AZ31" s="480"/>
      <c r="BA31" s="480"/>
      <c r="BB31" s="480"/>
      <c r="BC31" s="480"/>
      <c r="BD31" s="480"/>
      <c r="BE31" s="480"/>
      <c r="BF31" s="480"/>
      <c r="BG31" s="481"/>
      <c r="BH31" s="56"/>
      <c r="BI31" s="504"/>
      <c r="BJ31" s="505"/>
      <c r="BK31" s="505"/>
      <c r="BL31" s="505"/>
      <c r="BM31" s="505"/>
      <c r="BN31" s="50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row>
    <row r="32" spans="1:100" ht="15" customHeight="1" x14ac:dyDescent="0.35">
      <c r="A32" s="56"/>
      <c r="B32" s="307"/>
      <c r="C32" s="307"/>
      <c r="D32" s="308"/>
      <c r="E32" s="468"/>
      <c r="F32" s="469"/>
      <c r="G32" s="469"/>
      <c r="H32" s="469"/>
      <c r="I32" s="474"/>
      <c r="J32" s="457" t="str">
        <f>IF(AND('Mapa final'!$K$46="Alta",'Mapa final'!$O$46="Leve"),CONCATENATE("R",'Mapa final'!$A$46),"")</f>
        <v/>
      </c>
      <c r="K32" s="458"/>
      <c r="L32" s="458" t="str">
        <f>IF(AND('Mapa final'!$K$49="Alta",'Mapa final'!$O$49="Leve"),CONCATENATE("R",'Mapa final'!$A$49),"")</f>
        <v/>
      </c>
      <c r="M32" s="458"/>
      <c r="N32" s="458" t="str">
        <f>IF(AND('Mapa final'!$K$52="Alta",'Mapa final'!$O$52="Leve"),CONCATENATE("R",'Mapa final'!$A$52),"")</f>
        <v/>
      </c>
      <c r="O32" s="458"/>
      <c r="P32" s="458" t="str">
        <f>IF(AND('Mapa final'!$K$55="Alta",'Mapa final'!$O$55="Leve"),CONCATENATE("R",'Mapa final'!$A$55),"")</f>
        <v/>
      </c>
      <c r="Q32" s="458"/>
      <c r="R32" s="458" t="str">
        <f>IF(AND('Mapa final'!$K$58="Alta",'Mapa final'!$O$58="Leve"),CONCATENATE("R",'Mapa final'!$A$58),"")</f>
        <v/>
      </c>
      <c r="S32" s="461"/>
      <c r="T32" s="457" t="str">
        <f>IF(AND('Mapa final'!$K$46="Alta",'Mapa final'!$O$46="Menor"),CONCATENATE("R",'Mapa final'!$A$46),"")</f>
        <v/>
      </c>
      <c r="U32" s="458"/>
      <c r="V32" s="458" t="str">
        <f>IF(AND('Mapa final'!$K$49="Alta",'Mapa final'!$O$49="Menor"),CONCATENATE("R",'Mapa final'!$A$49),"")</f>
        <v/>
      </c>
      <c r="W32" s="458"/>
      <c r="X32" s="458" t="str">
        <f>IF(AND('Mapa final'!$K$52="Alta",'Mapa final'!$O$52="Menor"),CONCATENATE("R",'Mapa final'!$A$52),"")</f>
        <v/>
      </c>
      <c r="Y32" s="458"/>
      <c r="Z32" s="458" t="str">
        <f>IF(AND('Mapa final'!$K$55="Alta",'Mapa final'!$O$55="Menor"),CONCATENATE("R",'Mapa final'!$A$55),"")</f>
        <v/>
      </c>
      <c r="AA32" s="458"/>
      <c r="AB32" s="458" t="str">
        <f>IF(AND('Mapa final'!$K$58="Alta",'Mapa final'!$O$58="Menor"),CONCATENATE("R",'Mapa final'!$A$58),"")</f>
        <v/>
      </c>
      <c r="AC32" s="461"/>
      <c r="AD32" s="491" t="str">
        <f>IF(AND('Mapa final'!$K$46="Alta",'Mapa final'!$O$46="Moderado"),CONCATENATE("R",'Mapa final'!$A$46),"")</f>
        <v/>
      </c>
      <c r="AE32" s="450"/>
      <c r="AF32" s="450" t="str">
        <f>IF(AND('Mapa final'!$K$49="Alta",'Mapa final'!$O$49="Moderado"),CONCATENATE("R",'Mapa final'!$A$49),"")</f>
        <v/>
      </c>
      <c r="AG32" s="450"/>
      <c r="AH32" s="450" t="str">
        <f>IF(AND('Mapa final'!$K$52="Alta",'Mapa final'!$O$52="Moderado"),CONCATENATE("R",'Mapa final'!$A$52),"")</f>
        <v/>
      </c>
      <c r="AI32" s="450"/>
      <c r="AJ32" s="450" t="str">
        <f>IF(AND('Mapa final'!$K$55="Alta",'Mapa final'!$O$55="Moderado"),CONCATENATE("R",'Mapa final'!$A$55),"")</f>
        <v/>
      </c>
      <c r="AK32" s="450"/>
      <c r="AL32" s="450" t="str">
        <f>IF(AND('Mapa final'!$K$58="Alta",'Mapa final'!$O$58="Moderado"),CONCATENATE("R",'Mapa final'!$A$58),"")</f>
        <v/>
      </c>
      <c r="AM32" s="490"/>
      <c r="AN32" s="491" t="str">
        <f>IF(AND('Mapa final'!$K$46="Alta",'Mapa final'!$O$46="Mayor"),CONCATENATE("R",'Mapa final'!$A$46),"")</f>
        <v/>
      </c>
      <c r="AO32" s="450"/>
      <c r="AP32" s="450" t="str">
        <f>IF(AND('Mapa final'!$K$49="Alta",'Mapa final'!$O$49="Mayor"),CONCATENATE("R",'Mapa final'!$A$49),"")</f>
        <v/>
      </c>
      <c r="AQ32" s="450"/>
      <c r="AR32" s="450" t="str">
        <f>IF(AND('Mapa final'!$K$52="Alta",'Mapa final'!$O$52="Mayor"),CONCATENATE("R",'Mapa final'!$A$52),"")</f>
        <v/>
      </c>
      <c r="AS32" s="450"/>
      <c r="AT32" s="450" t="str">
        <f>IF(AND('Mapa final'!$K$55="Alta",'Mapa final'!$O$55="Mayor"),CONCATENATE("R",'Mapa final'!$A$55),"")</f>
        <v/>
      </c>
      <c r="AU32" s="450"/>
      <c r="AV32" s="450" t="str">
        <f>IF(AND('Mapa final'!$K$58="Alta",'Mapa final'!$O$58="Mayor"),CONCATENATE("R",'Mapa final'!$A$58),"")</f>
        <v/>
      </c>
      <c r="AW32" s="490"/>
      <c r="AX32" s="482" t="str">
        <f>IF(AND('Mapa final'!$K$46="Alta",'Mapa final'!$O$46="Catastrófico"),CONCATENATE("R",'Mapa final'!$A$46),"")</f>
        <v/>
      </c>
      <c r="AY32" s="480"/>
      <c r="AZ32" s="480" t="str">
        <f>IF(AND('Mapa final'!$K$49="Alta",'Mapa final'!$O$49="Catastrófico"),CONCATENATE("R",'Mapa final'!$A$49),"")</f>
        <v/>
      </c>
      <c r="BA32" s="480"/>
      <c r="BB32" s="480" t="str">
        <f>IF(AND('Mapa final'!$K$52="Alta",'Mapa final'!$O$52="Catastrófico"),CONCATENATE("R",'Mapa final'!$A$52),"")</f>
        <v/>
      </c>
      <c r="BC32" s="480"/>
      <c r="BD32" s="480" t="str">
        <f>IF(AND('Mapa final'!$K$55="Alta",'Mapa final'!$O$55="Catastrófico"),CONCATENATE("R",'Mapa final'!$A$55),"")</f>
        <v/>
      </c>
      <c r="BE32" s="480"/>
      <c r="BF32" s="480" t="str">
        <f>IF(AND('Mapa final'!$K$58="Alta",'Mapa final'!$O$58="Catastrófico"),CONCATENATE("R",'Mapa final'!$A$58),"")</f>
        <v/>
      </c>
      <c r="BG32" s="481"/>
      <c r="BH32" s="56"/>
      <c r="BI32" s="504"/>
      <c r="BJ32" s="505"/>
      <c r="BK32" s="505"/>
      <c r="BL32" s="505"/>
      <c r="BM32" s="505"/>
      <c r="BN32" s="50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row>
    <row r="33" spans="1:100" ht="15" customHeight="1" thickBot="1" x14ac:dyDescent="0.4">
      <c r="A33" s="56"/>
      <c r="B33" s="307"/>
      <c r="C33" s="307"/>
      <c r="D33" s="308"/>
      <c r="E33" s="468"/>
      <c r="F33" s="469"/>
      <c r="G33" s="469"/>
      <c r="H33" s="469"/>
      <c r="I33" s="474"/>
      <c r="J33" s="457"/>
      <c r="K33" s="458"/>
      <c r="L33" s="458"/>
      <c r="M33" s="458"/>
      <c r="N33" s="458"/>
      <c r="O33" s="458"/>
      <c r="P33" s="458"/>
      <c r="Q33" s="458"/>
      <c r="R33" s="458"/>
      <c r="S33" s="461"/>
      <c r="T33" s="457"/>
      <c r="U33" s="458"/>
      <c r="V33" s="458"/>
      <c r="W33" s="458"/>
      <c r="X33" s="458"/>
      <c r="Y33" s="458"/>
      <c r="Z33" s="458"/>
      <c r="AA33" s="458"/>
      <c r="AB33" s="458"/>
      <c r="AC33" s="461"/>
      <c r="AD33" s="491"/>
      <c r="AE33" s="450"/>
      <c r="AF33" s="450"/>
      <c r="AG33" s="450"/>
      <c r="AH33" s="450"/>
      <c r="AI33" s="450"/>
      <c r="AJ33" s="450"/>
      <c r="AK33" s="450"/>
      <c r="AL33" s="450"/>
      <c r="AM33" s="490"/>
      <c r="AN33" s="491"/>
      <c r="AO33" s="450"/>
      <c r="AP33" s="450"/>
      <c r="AQ33" s="450"/>
      <c r="AR33" s="450"/>
      <c r="AS33" s="450"/>
      <c r="AT33" s="450"/>
      <c r="AU33" s="450"/>
      <c r="AV33" s="450"/>
      <c r="AW33" s="490"/>
      <c r="AX33" s="482"/>
      <c r="AY33" s="480"/>
      <c r="AZ33" s="480"/>
      <c r="BA33" s="480"/>
      <c r="BB33" s="480"/>
      <c r="BC33" s="480"/>
      <c r="BD33" s="480"/>
      <c r="BE33" s="480"/>
      <c r="BF33" s="480"/>
      <c r="BG33" s="481"/>
      <c r="BH33" s="56"/>
      <c r="BI33" s="507"/>
      <c r="BJ33" s="508"/>
      <c r="BK33" s="508"/>
      <c r="BL33" s="508"/>
      <c r="BM33" s="508"/>
      <c r="BN33" s="509"/>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row>
    <row r="34" spans="1:100" ht="15" customHeight="1" x14ac:dyDescent="0.35">
      <c r="A34" s="56"/>
      <c r="B34" s="307"/>
      <c r="C34" s="307"/>
      <c r="D34" s="308"/>
      <c r="E34" s="468"/>
      <c r="F34" s="469"/>
      <c r="G34" s="469"/>
      <c r="H34" s="469"/>
      <c r="I34" s="474"/>
      <c r="J34" s="457" t="str">
        <f>IF(AND('Mapa final'!$K$61="Alta",'Mapa final'!$O$61="Leve"),CONCATENATE("R",'Mapa final'!$A$61),"")</f>
        <v/>
      </c>
      <c r="K34" s="458"/>
      <c r="L34" s="458" t="str">
        <f>IF(AND('Mapa final'!$K$64="Alta",'Mapa final'!$O$64="Leve"),CONCATENATE("R",'Mapa final'!$A$64),"")</f>
        <v/>
      </c>
      <c r="M34" s="458"/>
      <c r="N34" s="458" t="str">
        <f>IF(AND('Mapa final'!$K$70="Alta",'Mapa final'!$O$70="Leve"),CONCATENATE("R",'Mapa final'!$A$70),"")</f>
        <v/>
      </c>
      <c r="O34" s="458"/>
      <c r="P34" s="458" t="str">
        <f>IF(AND('Mapa final'!$K$73="Alta",'Mapa final'!$O$73="Leve"),CONCATENATE("R",'Mapa final'!$A$73),"")</f>
        <v/>
      </c>
      <c r="Q34" s="458"/>
      <c r="R34" s="458" t="str">
        <f>IF(AND('Mapa final'!$K$76="Alta",'Mapa final'!$O$76="Leve"),CONCATENATE("R",'Mapa final'!$A$76),"")</f>
        <v/>
      </c>
      <c r="S34" s="461"/>
      <c r="T34" s="457" t="str">
        <f>IF(AND('Mapa final'!$K$61="Alta",'Mapa final'!$O$61="Menor"),CONCATENATE("R",'Mapa final'!$A$61),"")</f>
        <v/>
      </c>
      <c r="U34" s="458"/>
      <c r="V34" s="458" t="str">
        <f>IF(AND('Mapa final'!$K$64="Alta",'Mapa final'!$O$64="Menor"),CONCATENATE("R",'Mapa final'!$A$64),"")</f>
        <v/>
      </c>
      <c r="W34" s="458"/>
      <c r="X34" s="458" t="str">
        <f>IF(AND('Mapa final'!$K$70="Alta",'Mapa final'!$O$70="Menor"),CONCATENATE("R",'Mapa final'!$A$70),"")</f>
        <v/>
      </c>
      <c r="Y34" s="458"/>
      <c r="Z34" s="458" t="str">
        <f>IF(AND('Mapa final'!$K$73="Alta",'Mapa final'!$O$73="Menor"),CONCATENATE("R",'Mapa final'!$A$73),"")</f>
        <v/>
      </c>
      <c r="AA34" s="458"/>
      <c r="AB34" s="458" t="str">
        <f>IF(AND('Mapa final'!$K$76="Alta",'Mapa final'!$O$76="Menor"),CONCATENATE("R",'Mapa final'!$A$76),"")</f>
        <v/>
      </c>
      <c r="AC34" s="461"/>
      <c r="AD34" s="491" t="str">
        <f>IF(AND('Mapa final'!$K$61="Alta",'Mapa final'!$O$61="Moderado"),CONCATENATE("R",'Mapa final'!$A$61),"")</f>
        <v/>
      </c>
      <c r="AE34" s="450"/>
      <c r="AF34" s="450" t="str">
        <f>IF(AND('Mapa final'!$K$64="Alta",'Mapa final'!$O$64="Moderado"),CONCATENATE("R",'Mapa final'!$A$64),"")</f>
        <v/>
      </c>
      <c r="AG34" s="450"/>
      <c r="AH34" s="450" t="str">
        <f>IF(AND('Mapa final'!$K$70="Alta",'Mapa final'!$O$70="Moderado"),CONCATENATE("R",'Mapa final'!$A$70),"")</f>
        <v/>
      </c>
      <c r="AI34" s="450"/>
      <c r="AJ34" s="450" t="str">
        <f>IF(AND('Mapa final'!$K$73="Alta",'Mapa final'!$O$73="Moderado"),CONCATENATE("R",'Mapa final'!$A$73),"")</f>
        <v/>
      </c>
      <c r="AK34" s="450"/>
      <c r="AL34" s="450" t="str">
        <f>IF(AND('Mapa final'!$K$76="Alta",'Mapa final'!$O$76="Moderado"),CONCATENATE("R",'Mapa final'!$A$76),"")</f>
        <v/>
      </c>
      <c r="AM34" s="490"/>
      <c r="AN34" s="491" t="str">
        <f>IF(AND('Mapa final'!$K$61="Alta",'Mapa final'!$O$61="Mayor"),CONCATENATE("R",'Mapa final'!$A$61),"")</f>
        <v/>
      </c>
      <c r="AO34" s="450"/>
      <c r="AP34" s="450" t="str">
        <f>IF(AND('Mapa final'!$K$64="Alta",'Mapa final'!$O$64="Mayor"),CONCATENATE("R",'Mapa final'!$A$64),"")</f>
        <v/>
      </c>
      <c r="AQ34" s="450"/>
      <c r="AR34" s="450" t="str">
        <f>IF(AND('Mapa final'!$K$70="Alta",'Mapa final'!$O$70="Mayor"),CONCATENATE("R",'Mapa final'!$A$70),"")</f>
        <v/>
      </c>
      <c r="AS34" s="450"/>
      <c r="AT34" s="450" t="str">
        <f>IF(AND('Mapa final'!$K$73="Alta",'Mapa final'!$O$73="Mayor"),CONCATENATE("R",'Mapa final'!$A$73),"")</f>
        <v/>
      </c>
      <c r="AU34" s="450"/>
      <c r="AV34" s="450" t="str">
        <f>IF(AND('Mapa final'!$K$76="Alta",'Mapa final'!$O$76="Mayor"),CONCATENATE("R",'Mapa final'!$A$76),"")</f>
        <v/>
      </c>
      <c r="AW34" s="490"/>
      <c r="AX34" s="482" t="str">
        <f>IF(AND('Mapa final'!$K$61="Alta",'Mapa final'!$O$61="Catastrófico"),CONCATENATE("R",'Mapa final'!$A$61),"")</f>
        <v/>
      </c>
      <c r="AY34" s="480"/>
      <c r="AZ34" s="480" t="str">
        <f>IF(AND('Mapa final'!$K$64="Alta",'Mapa final'!$O$64="Catastrófico"),CONCATENATE("R",'Mapa final'!$A$64),"")</f>
        <v/>
      </c>
      <c r="BA34" s="480"/>
      <c r="BB34" s="480" t="str">
        <f>IF(AND('Mapa final'!$K$70="Alta",'Mapa final'!$O$70="Catastrófico"),CONCATENATE("R",'Mapa final'!$A$70),"")</f>
        <v/>
      </c>
      <c r="BC34" s="480"/>
      <c r="BD34" s="480" t="str">
        <f>IF(AND('Mapa final'!$K$73="Alta",'Mapa final'!$O$73="Catastrófico"),CONCATENATE("R",'Mapa final'!$A$73),"")</f>
        <v/>
      </c>
      <c r="BE34" s="480"/>
      <c r="BF34" s="480" t="str">
        <f>IF(AND('Mapa final'!$K$76="Alta",'Mapa final'!$O$76="Catastrófico"),CONCATENATE("R",'Mapa final'!$A$76),"")</f>
        <v/>
      </c>
      <c r="BG34" s="481"/>
      <c r="BH34" s="56"/>
      <c r="BI34" s="510" t="s">
        <v>74</v>
      </c>
      <c r="BJ34" s="511"/>
      <c r="BK34" s="511"/>
      <c r="BL34" s="511"/>
      <c r="BM34" s="511"/>
      <c r="BN34" s="512"/>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row>
    <row r="35" spans="1:100" ht="15" customHeight="1" x14ac:dyDescent="0.35">
      <c r="A35" s="56"/>
      <c r="B35" s="307"/>
      <c r="C35" s="307"/>
      <c r="D35" s="308"/>
      <c r="E35" s="468"/>
      <c r="F35" s="469"/>
      <c r="G35" s="469"/>
      <c r="H35" s="469"/>
      <c r="I35" s="474"/>
      <c r="J35" s="457"/>
      <c r="K35" s="458"/>
      <c r="L35" s="458"/>
      <c r="M35" s="458"/>
      <c r="N35" s="458"/>
      <c r="O35" s="458"/>
      <c r="P35" s="458"/>
      <c r="Q35" s="458"/>
      <c r="R35" s="458"/>
      <c r="S35" s="461"/>
      <c r="T35" s="457"/>
      <c r="U35" s="458"/>
      <c r="V35" s="458"/>
      <c r="W35" s="458"/>
      <c r="X35" s="458"/>
      <c r="Y35" s="458"/>
      <c r="Z35" s="458"/>
      <c r="AA35" s="458"/>
      <c r="AB35" s="458"/>
      <c r="AC35" s="461"/>
      <c r="AD35" s="491"/>
      <c r="AE35" s="450"/>
      <c r="AF35" s="450"/>
      <c r="AG35" s="450"/>
      <c r="AH35" s="450"/>
      <c r="AI35" s="450"/>
      <c r="AJ35" s="450"/>
      <c r="AK35" s="450"/>
      <c r="AL35" s="450"/>
      <c r="AM35" s="490"/>
      <c r="AN35" s="491"/>
      <c r="AO35" s="450"/>
      <c r="AP35" s="450"/>
      <c r="AQ35" s="450"/>
      <c r="AR35" s="450"/>
      <c r="AS35" s="450"/>
      <c r="AT35" s="450"/>
      <c r="AU35" s="450"/>
      <c r="AV35" s="450"/>
      <c r="AW35" s="490"/>
      <c r="AX35" s="482"/>
      <c r="AY35" s="480"/>
      <c r="AZ35" s="480"/>
      <c r="BA35" s="480"/>
      <c r="BB35" s="480"/>
      <c r="BC35" s="480"/>
      <c r="BD35" s="480"/>
      <c r="BE35" s="480"/>
      <c r="BF35" s="480"/>
      <c r="BG35" s="481"/>
      <c r="BH35" s="56"/>
      <c r="BI35" s="513"/>
      <c r="BJ35" s="514"/>
      <c r="BK35" s="514"/>
      <c r="BL35" s="514"/>
      <c r="BM35" s="514"/>
      <c r="BN35" s="515"/>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row>
    <row r="36" spans="1:100" ht="15" customHeight="1" x14ac:dyDescent="0.35">
      <c r="A36" s="56"/>
      <c r="B36" s="307"/>
      <c r="C36" s="307"/>
      <c r="D36" s="308"/>
      <c r="E36" s="468"/>
      <c r="F36" s="469"/>
      <c r="G36" s="469"/>
      <c r="H36" s="469"/>
      <c r="I36" s="474"/>
      <c r="J36" s="457" t="str">
        <f>IF(AND('Mapa final'!$K$79="Alta",'Mapa final'!$O$79="Leve"),CONCATENATE("R",'Mapa final'!$A$79),"")</f>
        <v/>
      </c>
      <c r="K36" s="458"/>
      <c r="L36" s="458" t="str">
        <f>IF(AND('Mapa final'!$K$82="Alta",'Mapa final'!$O$82="Leve"),CONCATENATE("R",'Mapa final'!$A$82),"")</f>
        <v/>
      </c>
      <c r="M36" s="458"/>
      <c r="N36" s="458" t="str">
        <f>IF(AND('Mapa final'!$K$85="Alta",'Mapa final'!$O$85="Leve"),CONCATENATE("R",'Mapa final'!$A$85),"")</f>
        <v/>
      </c>
      <c r="O36" s="458"/>
      <c r="P36" s="458" t="str">
        <f>IF(AND('Mapa final'!$K$88="Alta",'Mapa final'!$O$88="Leve"),CONCATENATE("R",'Mapa final'!$A$88),"")</f>
        <v/>
      </c>
      <c r="Q36" s="458"/>
      <c r="R36" s="458" t="str">
        <f>IF(AND('Mapa final'!$K$91="Alta",'Mapa final'!$O$91="Leve"),CONCATENATE("R",'Mapa final'!$A$91),"")</f>
        <v/>
      </c>
      <c r="S36" s="461"/>
      <c r="T36" s="457" t="str">
        <f>IF(AND('Mapa final'!$K$79="Alta",'Mapa final'!$O$79="Menor"),CONCATENATE("R",'Mapa final'!$A$79),"")</f>
        <v/>
      </c>
      <c r="U36" s="458"/>
      <c r="V36" s="458" t="str">
        <f>IF(AND('Mapa final'!$K$82="Alta",'Mapa final'!$O$82="Menor"),CONCATENATE("R",'Mapa final'!$A$82),"")</f>
        <v/>
      </c>
      <c r="W36" s="458"/>
      <c r="X36" s="458" t="str">
        <f>IF(AND('Mapa final'!$K$85="Alta",'Mapa final'!$O$85="Menor"),CONCATENATE("R",'Mapa final'!$A$85),"")</f>
        <v/>
      </c>
      <c r="Y36" s="458"/>
      <c r="Z36" s="458" t="str">
        <f>IF(AND('Mapa final'!$K$88="Alta",'Mapa final'!$O$88="Menor"),CONCATENATE("R",'Mapa final'!$A$88),"")</f>
        <v/>
      </c>
      <c r="AA36" s="458"/>
      <c r="AB36" s="458" t="str">
        <f>IF(AND('Mapa final'!$K$91="Alta",'Mapa final'!$O$91="Menor"),CONCATENATE("R",'Mapa final'!$A$91),"")</f>
        <v/>
      </c>
      <c r="AC36" s="461"/>
      <c r="AD36" s="491" t="str">
        <f>IF(AND('Mapa final'!$K$79="Alta",'Mapa final'!$O$79="Moderado"),CONCATENATE("R",'Mapa final'!$A$79),"")</f>
        <v/>
      </c>
      <c r="AE36" s="450"/>
      <c r="AF36" s="450" t="str">
        <f>IF(AND('Mapa final'!$K$82="Alta",'Mapa final'!$O$82="Moderado"),CONCATENATE("R",'Mapa final'!$A$82),"")</f>
        <v/>
      </c>
      <c r="AG36" s="450"/>
      <c r="AH36" s="450" t="str">
        <f>IF(AND('Mapa final'!$K$85="Alta",'Mapa final'!$O$85="Moderado"),CONCATENATE("R",'Mapa final'!$A$85),"")</f>
        <v/>
      </c>
      <c r="AI36" s="450"/>
      <c r="AJ36" s="450" t="str">
        <f>IF(AND('Mapa final'!$K$88="Alta",'Mapa final'!$O$88="Moderado"),CONCATENATE("R",'Mapa final'!$A$88),"")</f>
        <v/>
      </c>
      <c r="AK36" s="450"/>
      <c r="AL36" s="450" t="str">
        <f>IF(AND('Mapa final'!$K$91="Alta",'Mapa final'!$O$91="Moderado"),CONCATENATE("R",'Mapa final'!$A$91),"")</f>
        <v/>
      </c>
      <c r="AM36" s="490"/>
      <c r="AN36" s="491" t="str">
        <f>IF(AND('Mapa final'!$K$79="Alta",'Mapa final'!$O$79="Mayor"),CONCATENATE("R",'Mapa final'!$A$79),"")</f>
        <v/>
      </c>
      <c r="AO36" s="450"/>
      <c r="AP36" s="450" t="str">
        <f>IF(AND('Mapa final'!$K$82="Alta",'Mapa final'!$O$82="Mayor"),CONCATENATE("R",'Mapa final'!$A$82),"")</f>
        <v/>
      </c>
      <c r="AQ36" s="450"/>
      <c r="AR36" s="450" t="str">
        <f>IF(AND('Mapa final'!$K$85="Alta",'Mapa final'!$O$85="Mayor"),CONCATENATE("R",'Mapa final'!$A$85),"")</f>
        <v/>
      </c>
      <c r="AS36" s="450"/>
      <c r="AT36" s="450" t="str">
        <f>IF(AND('Mapa final'!$K$88="Alta",'Mapa final'!$O$88="Mayor"),CONCATENATE("R",'Mapa final'!$A$88),"")</f>
        <v/>
      </c>
      <c r="AU36" s="450"/>
      <c r="AV36" s="450" t="str">
        <f>IF(AND('Mapa final'!$K$91="Alta",'Mapa final'!$O$91="Mayor"),CONCATENATE("R",'Mapa final'!$A$91),"")</f>
        <v>R30</v>
      </c>
      <c r="AW36" s="490"/>
      <c r="AX36" s="482" t="str">
        <f>IF(AND('Mapa final'!$K$79="Alta",'Mapa final'!$O$79="Catastrófico"),CONCATENATE("R",'Mapa final'!$A$79),"")</f>
        <v/>
      </c>
      <c r="AY36" s="480"/>
      <c r="AZ36" s="480" t="str">
        <f>IF(AND('Mapa final'!$K$82="Alta",'Mapa final'!$O$82="Catastrófico"),CONCATENATE("R",'Mapa final'!$A$82),"")</f>
        <v/>
      </c>
      <c r="BA36" s="480"/>
      <c r="BB36" s="480" t="str">
        <f>IF(AND('Mapa final'!$K$85="Alta",'Mapa final'!$O$85="Catastrófico"),CONCATENATE("R",'Mapa final'!$A$85),"")</f>
        <v/>
      </c>
      <c r="BC36" s="480"/>
      <c r="BD36" s="480" t="str">
        <f>IF(AND('Mapa final'!$K$88="Alta",'Mapa final'!$O$88="Catastrófico"),CONCATENATE("R",'Mapa final'!$A$88),"")</f>
        <v/>
      </c>
      <c r="BE36" s="480"/>
      <c r="BF36" s="480" t="str">
        <f>IF(AND('Mapa final'!$K$91="Alta",'Mapa final'!$O$91="Catastrófico"),CONCATENATE("R",'Mapa final'!$A$91),"")</f>
        <v/>
      </c>
      <c r="BG36" s="481"/>
      <c r="BH36" s="56"/>
      <c r="BI36" s="513"/>
      <c r="BJ36" s="514"/>
      <c r="BK36" s="514"/>
      <c r="BL36" s="514"/>
      <c r="BM36" s="514"/>
      <c r="BN36" s="515"/>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row>
    <row r="37" spans="1:100" ht="15" customHeight="1" x14ac:dyDescent="0.35">
      <c r="A37" s="56"/>
      <c r="B37" s="307"/>
      <c r="C37" s="307"/>
      <c r="D37" s="308"/>
      <c r="E37" s="468"/>
      <c r="F37" s="469"/>
      <c r="G37" s="469"/>
      <c r="H37" s="469"/>
      <c r="I37" s="474"/>
      <c r="J37" s="457"/>
      <c r="K37" s="458"/>
      <c r="L37" s="458"/>
      <c r="M37" s="458"/>
      <c r="N37" s="458"/>
      <c r="O37" s="458"/>
      <c r="P37" s="458"/>
      <c r="Q37" s="458"/>
      <c r="R37" s="458"/>
      <c r="S37" s="461"/>
      <c r="T37" s="457"/>
      <c r="U37" s="458"/>
      <c r="V37" s="458"/>
      <c r="W37" s="458"/>
      <c r="X37" s="458"/>
      <c r="Y37" s="458"/>
      <c r="Z37" s="458"/>
      <c r="AA37" s="458"/>
      <c r="AB37" s="458"/>
      <c r="AC37" s="461"/>
      <c r="AD37" s="491"/>
      <c r="AE37" s="450"/>
      <c r="AF37" s="450"/>
      <c r="AG37" s="450"/>
      <c r="AH37" s="450"/>
      <c r="AI37" s="450"/>
      <c r="AJ37" s="450"/>
      <c r="AK37" s="450"/>
      <c r="AL37" s="450"/>
      <c r="AM37" s="490"/>
      <c r="AN37" s="491"/>
      <c r="AO37" s="450"/>
      <c r="AP37" s="450"/>
      <c r="AQ37" s="450"/>
      <c r="AR37" s="450"/>
      <c r="AS37" s="450"/>
      <c r="AT37" s="450"/>
      <c r="AU37" s="450"/>
      <c r="AV37" s="450"/>
      <c r="AW37" s="490"/>
      <c r="AX37" s="482"/>
      <c r="AY37" s="480"/>
      <c r="AZ37" s="480"/>
      <c r="BA37" s="480"/>
      <c r="BB37" s="480"/>
      <c r="BC37" s="480"/>
      <c r="BD37" s="480"/>
      <c r="BE37" s="480"/>
      <c r="BF37" s="480"/>
      <c r="BG37" s="481"/>
      <c r="BH37" s="56"/>
      <c r="BI37" s="513"/>
      <c r="BJ37" s="514"/>
      <c r="BK37" s="514"/>
      <c r="BL37" s="514"/>
      <c r="BM37" s="514"/>
      <c r="BN37" s="515"/>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row>
    <row r="38" spans="1:100" ht="15" customHeight="1" x14ac:dyDescent="0.35">
      <c r="A38" s="56"/>
      <c r="B38" s="307"/>
      <c r="C38" s="307"/>
      <c r="D38" s="308"/>
      <c r="E38" s="468"/>
      <c r="F38" s="469"/>
      <c r="G38" s="469"/>
      <c r="H38" s="469"/>
      <c r="I38" s="474"/>
      <c r="J38" s="457" t="str">
        <f>IF(AND('Mapa final'!$K$94="Alta",'Mapa final'!$O$94="Leve"),CONCATENATE("R",'Mapa final'!$A$94),"")</f>
        <v/>
      </c>
      <c r="K38" s="458"/>
      <c r="L38" s="458" t="e">
        <f>IF(AND('Mapa final'!#REF!="Alta",'Mapa final'!#REF!="Leve"),CONCATENATE("R",'Mapa final'!#REF!),"")</f>
        <v>#REF!</v>
      </c>
      <c r="M38" s="458"/>
      <c r="N38" s="458" t="str">
        <f>IF(AND('Mapa final'!$K$97="Alta",'Mapa final'!$O$97="Leve"),CONCATENATE("R",'Mapa final'!$A$97),"")</f>
        <v/>
      </c>
      <c r="O38" s="458"/>
      <c r="P38" s="458" t="str">
        <f>IF(AND('Mapa final'!$K$100="Alta",'Mapa final'!$O$100="Leve"),CONCATENATE("R",'Mapa final'!$A$100),"")</f>
        <v/>
      </c>
      <c r="Q38" s="458"/>
      <c r="R38" s="458" t="str">
        <f>IF(AND('Mapa final'!$K$103="Alta",'Mapa final'!$O$103="Leve"),CONCATENATE("R",'Mapa final'!$A$103),"")</f>
        <v/>
      </c>
      <c r="S38" s="461"/>
      <c r="T38" s="457" t="str">
        <f>IF(AND('Mapa final'!$K$94="Alta",'Mapa final'!$O$94="Menor"),CONCATENATE("R",'Mapa final'!$A$94),"")</f>
        <v/>
      </c>
      <c r="U38" s="458"/>
      <c r="V38" s="458" t="e">
        <f>IF(AND('Mapa final'!#REF!="Alta",'Mapa final'!#REF!="Menor"),CONCATENATE("R",'Mapa final'!#REF!),"")</f>
        <v>#REF!</v>
      </c>
      <c r="W38" s="458"/>
      <c r="X38" s="458" t="str">
        <f>IF(AND('Mapa final'!$K$97="Alta",'Mapa final'!$O$97="Menor"),CONCATENATE("R",'Mapa final'!$A$97),"")</f>
        <v/>
      </c>
      <c r="Y38" s="458"/>
      <c r="Z38" s="458" t="str">
        <f>IF(AND('Mapa final'!$K$100="Alta",'Mapa final'!$O$100="Menor"),CONCATENATE("R",'Mapa final'!$A$100),"")</f>
        <v/>
      </c>
      <c r="AA38" s="458"/>
      <c r="AB38" s="458" t="str">
        <f>IF(AND('Mapa final'!$K$103="Alta",'Mapa final'!$O$103="Menor"),CONCATENATE("R",'Mapa final'!$A$103),"")</f>
        <v/>
      </c>
      <c r="AC38" s="461"/>
      <c r="AD38" s="491" t="str">
        <f>IF(AND('Mapa final'!$K$94="Alta",'Mapa final'!$O$94="Moderado"),CONCATENATE("R",'Mapa final'!$A$94),"")</f>
        <v/>
      </c>
      <c r="AE38" s="450"/>
      <c r="AF38" s="450" t="e">
        <f>IF(AND('Mapa final'!#REF!="Alta",'Mapa final'!#REF!="Moderado"),CONCATENATE("R",'Mapa final'!#REF!),"")</f>
        <v>#REF!</v>
      </c>
      <c r="AG38" s="450"/>
      <c r="AH38" s="450" t="str">
        <f>IF(AND('Mapa final'!$K$97="Alta",'Mapa final'!$O$97="Moderado"),CONCATENATE("R",'Mapa final'!$A$97),"")</f>
        <v>R32</v>
      </c>
      <c r="AI38" s="450"/>
      <c r="AJ38" s="450" t="str">
        <f>IF(AND('Mapa final'!$K$100="Alta",'Mapa final'!$O$100="Moderado"),CONCATENATE("R",'Mapa final'!$A$100),"")</f>
        <v/>
      </c>
      <c r="AK38" s="450"/>
      <c r="AL38" s="450" t="str">
        <f>IF(AND('Mapa final'!$K$103="Alta",'Mapa final'!$O$103="Moderado"),CONCATENATE("R",'Mapa final'!$A$103),"")</f>
        <v/>
      </c>
      <c r="AM38" s="490"/>
      <c r="AN38" s="491" t="str">
        <f>IF(AND('Mapa final'!$K$94="Alta",'Mapa final'!$O$94="Mayor"),CONCATENATE("R",'Mapa final'!$A$94),"")</f>
        <v/>
      </c>
      <c r="AO38" s="450"/>
      <c r="AP38" s="450" t="e">
        <f>IF(AND('Mapa final'!#REF!="Alta",'Mapa final'!#REF!="Mayor"),CONCATENATE("R",'Mapa final'!#REF!),"")</f>
        <v>#REF!</v>
      </c>
      <c r="AQ38" s="450"/>
      <c r="AR38" s="450" t="str">
        <f>IF(AND('Mapa final'!$K$97="Alta",'Mapa final'!$O$97="Mayor"),CONCATENATE("R",'Mapa final'!$A$97),"")</f>
        <v/>
      </c>
      <c r="AS38" s="450"/>
      <c r="AT38" s="450" t="str">
        <f>IF(AND('Mapa final'!$K$100="Alta",'Mapa final'!$O$100="Mayor"),CONCATENATE("R",'Mapa final'!$A$100),"")</f>
        <v/>
      </c>
      <c r="AU38" s="450"/>
      <c r="AV38" s="450" t="str">
        <f>IF(AND('Mapa final'!$K$103="Alta",'Mapa final'!$O$103="Mayor"),CONCATENATE("R",'Mapa final'!$A$103),"")</f>
        <v/>
      </c>
      <c r="AW38" s="490"/>
      <c r="AX38" s="482" t="str">
        <f>IF(AND('Mapa final'!$K$94="Alta",'Mapa final'!$O$94="Catastrófico"),CONCATENATE("R",'Mapa final'!$A$94),"")</f>
        <v/>
      </c>
      <c r="AY38" s="480"/>
      <c r="AZ38" s="480" t="e">
        <f>IF(AND('Mapa final'!#REF!="Alta",'Mapa final'!#REF!="Catastrófico"),CONCATENATE("R",'Mapa final'!#REF!),"")</f>
        <v>#REF!</v>
      </c>
      <c r="BA38" s="480"/>
      <c r="BB38" s="480" t="str">
        <f>IF(AND('Mapa final'!$K$97="Alta",'Mapa final'!$O$97="Catastrófico"),CONCATENATE("R",'Mapa final'!$A$97),"")</f>
        <v/>
      </c>
      <c r="BC38" s="480"/>
      <c r="BD38" s="480" t="str">
        <f>IF(AND('Mapa final'!$K$100="Alta",'Mapa final'!$O$100="Catastrófico"),CONCATENATE("R",'Mapa final'!$A$100),"")</f>
        <v/>
      </c>
      <c r="BE38" s="480"/>
      <c r="BF38" s="480" t="str">
        <f>IF(AND('Mapa final'!$K$103="Alta",'Mapa final'!$O$103="Catastrófico"),CONCATENATE("R",'Mapa final'!$A$103),"")</f>
        <v/>
      </c>
      <c r="BG38" s="481"/>
      <c r="BH38" s="56"/>
      <c r="BI38" s="513"/>
      <c r="BJ38" s="514"/>
      <c r="BK38" s="514"/>
      <c r="BL38" s="514"/>
      <c r="BM38" s="514"/>
      <c r="BN38" s="515"/>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row>
    <row r="39" spans="1:100" ht="15" customHeight="1" x14ac:dyDescent="0.35">
      <c r="A39" s="56"/>
      <c r="B39" s="307"/>
      <c r="C39" s="307"/>
      <c r="D39" s="308"/>
      <c r="E39" s="468"/>
      <c r="F39" s="469"/>
      <c r="G39" s="469"/>
      <c r="H39" s="469"/>
      <c r="I39" s="474"/>
      <c r="J39" s="457"/>
      <c r="K39" s="458"/>
      <c r="L39" s="458"/>
      <c r="M39" s="458"/>
      <c r="N39" s="458"/>
      <c r="O39" s="458"/>
      <c r="P39" s="458"/>
      <c r="Q39" s="458"/>
      <c r="R39" s="458"/>
      <c r="S39" s="461"/>
      <c r="T39" s="457"/>
      <c r="U39" s="458"/>
      <c r="V39" s="458"/>
      <c r="W39" s="458"/>
      <c r="X39" s="458"/>
      <c r="Y39" s="458"/>
      <c r="Z39" s="458"/>
      <c r="AA39" s="458"/>
      <c r="AB39" s="458"/>
      <c r="AC39" s="461"/>
      <c r="AD39" s="491"/>
      <c r="AE39" s="450"/>
      <c r="AF39" s="450"/>
      <c r="AG39" s="450"/>
      <c r="AH39" s="450"/>
      <c r="AI39" s="450"/>
      <c r="AJ39" s="450"/>
      <c r="AK39" s="450"/>
      <c r="AL39" s="450"/>
      <c r="AM39" s="490"/>
      <c r="AN39" s="491"/>
      <c r="AO39" s="450"/>
      <c r="AP39" s="450"/>
      <c r="AQ39" s="450"/>
      <c r="AR39" s="450"/>
      <c r="AS39" s="450"/>
      <c r="AT39" s="450"/>
      <c r="AU39" s="450"/>
      <c r="AV39" s="450"/>
      <c r="AW39" s="490"/>
      <c r="AX39" s="482"/>
      <c r="AY39" s="480"/>
      <c r="AZ39" s="480"/>
      <c r="BA39" s="480"/>
      <c r="BB39" s="480"/>
      <c r="BC39" s="480"/>
      <c r="BD39" s="480"/>
      <c r="BE39" s="480"/>
      <c r="BF39" s="480"/>
      <c r="BG39" s="481"/>
      <c r="BH39" s="56"/>
      <c r="BI39" s="513"/>
      <c r="BJ39" s="514"/>
      <c r="BK39" s="514"/>
      <c r="BL39" s="514"/>
      <c r="BM39" s="514"/>
      <c r="BN39" s="515"/>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row>
    <row r="40" spans="1:100" ht="15" customHeight="1" x14ac:dyDescent="0.35">
      <c r="A40" s="56"/>
      <c r="B40" s="307"/>
      <c r="C40" s="307"/>
      <c r="D40" s="308"/>
      <c r="E40" s="468"/>
      <c r="F40" s="469"/>
      <c r="G40" s="469"/>
      <c r="H40" s="469"/>
      <c r="I40" s="474"/>
      <c r="J40" s="457" t="str">
        <f>IF(AND('Mapa final'!$K$106="Alta",'Mapa final'!$O$106="Leve"),CONCATENATE("R",'Mapa final'!$A$106),"")</f>
        <v/>
      </c>
      <c r="K40" s="458"/>
      <c r="L40" s="458" t="str">
        <f>IF(AND('Mapa final'!$K$109="Alta",'Mapa final'!$O$109="Leve"),CONCATENATE("R",'Mapa final'!$A$109),"")</f>
        <v/>
      </c>
      <c r="M40" s="458"/>
      <c r="N40" s="458" t="str">
        <f>IF(AND('Mapa final'!$K$112="Alta",'Mapa final'!$O$112="Leve"),CONCATENATE("R",'Mapa final'!$A$112),"")</f>
        <v/>
      </c>
      <c r="O40" s="458"/>
      <c r="P40" s="458" t="str">
        <f>IF(AND('Mapa final'!$K$115="Alta",'Mapa final'!$O$115="Leve"),CONCATENATE("R",'Mapa final'!$A$115),"")</f>
        <v/>
      </c>
      <c r="Q40" s="458"/>
      <c r="R40" s="458" t="str">
        <f>IF(AND('Mapa final'!$K$118="Alta",'Mapa final'!$O$118="Leve"),CONCATENATE("R",'Mapa final'!$A$118),"")</f>
        <v/>
      </c>
      <c r="S40" s="461"/>
      <c r="T40" s="457" t="str">
        <f>IF(AND('Mapa final'!$K$106="Alta",'Mapa final'!$O$106="Menor"),CONCATENATE("R",'Mapa final'!$A$106),"")</f>
        <v/>
      </c>
      <c r="U40" s="458"/>
      <c r="V40" s="458" t="str">
        <f>IF(AND('Mapa final'!$K$109="Alta",'Mapa final'!$O$109="Menor"),CONCATENATE("R",'Mapa final'!$A$109),"")</f>
        <v/>
      </c>
      <c r="W40" s="458"/>
      <c r="X40" s="458" t="str">
        <f>IF(AND('Mapa final'!$K$112="Alta",'Mapa final'!$O$112="Menor"),CONCATENATE("R",'Mapa final'!$A$112),"")</f>
        <v/>
      </c>
      <c r="Y40" s="458"/>
      <c r="Z40" s="458" t="str">
        <f>IF(AND('Mapa final'!$K$115="Alta",'Mapa final'!$O$115="Menor"),CONCATENATE("R",'Mapa final'!$A$115),"")</f>
        <v/>
      </c>
      <c r="AA40" s="458"/>
      <c r="AB40" s="458" t="str">
        <f>IF(AND('Mapa final'!$K$118="Alta",'Mapa final'!$O$118="Menor"),CONCATENATE("R",'Mapa final'!$A$118),"")</f>
        <v/>
      </c>
      <c r="AC40" s="461"/>
      <c r="AD40" s="491" t="str">
        <f>IF(AND('Mapa final'!$K$106="Alta",'Mapa final'!$O$106="Moderado"),CONCATENATE("R",'Mapa final'!$A$106),"")</f>
        <v/>
      </c>
      <c r="AE40" s="450"/>
      <c r="AF40" s="450" t="str">
        <f>IF(AND('Mapa final'!$K$109="Alta",'Mapa final'!$O$109="Moderado"),CONCATENATE("R",'Mapa final'!$A$109),"")</f>
        <v/>
      </c>
      <c r="AG40" s="450"/>
      <c r="AH40" s="450" t="str">
        <f>IF(AND('Mapa final'!$K$112="Alta",'Mapa final'!$O$112="Moderado"),CONCATENATE("R",'Mapa final'!$A$112),"")</f>
        <v/>
      </c>
      <c r="AI40" s="450"/>
      <c r="AJ40" s="450" t="str">
        <f>IF(AND('Mapa final'!$K$115="Alta",'Mapa final'!$O$115="Moderado"),CONCATENATE("R",'Mapa final'!$A$115),"")</f>
        <v>R38</v>
      </c>
      <c r="AK40" s="450"/>
      <c r="AL40" s="450" t="str">
        <f>IF(AND('Mapa final'!$K$118="Alta",'Mapa final'!$O$118="Moderado"),CONCATENATE("R",'Mapa final'!$A$118),"")</f>
        <v/>
      </c>
      <c r="AM40" s="490"/>
      <c r="AN40" s="491" t="str">
        <f>IF(AND('Mapa final'!$K$106="Alta",'Mapa final'!$O$106="Mayor"),CONCATENATE("R",'Mapa final'!$A$106),"")</f>
        <v/>
      </c>
      <c r="AO40" s="450"/>
      <c r="AP40" s="450" t="str">
        <f>IF(AND('Mapa final'!$K$109="Alta",'Mapa final'!$O$109="Mayor"),CONCATENATE("R",'Mapa final'!$A$109),"")</f>
        <v/>
      </c>
      <c r="AQ40" s="450"/>
      <c r="AR40" s="450" t="str">
        <f>IF(AND('Mapa final'!$K$112="Alta",'Mapa final'!$O$112="Mayor"),CONCATENATE("R",'Mapa final'!$A$112),"")</f>
        <v/>
      </c>
      <c r="AS40" s="450"/>
      <c r="AT40" s="450" t="str">
        <f>IF(AND('Mapa final'!$K$115="Alta",'Mapa final'!$O$115="Mayor"),CONCATENATE("R",'Mapa final'!$A$115),"")</f>
        <v/>
      </c>
      <c r="AU40" s="450"/>
      <c r="AV40" s="450" t="str">
        <f>IF(AND('Mapa final'!$K$118="Alta",'Mapa final'!$O$118="Mayor"),CONCATENATE("R",'Mapa final'!$A$118),"")</f>
        <v/>
      </c>
      <c r="AW40" s="490"/>
      <c r="AX40" s="482" t="str">
        <f>IF(AND('Mapa final'!$K$106="Alta",'Mapa final'!$O$106="Catastrófico"),CONCATENATE("R",'Mapa final'!$A$106),"")</f>
        <v/>
      </c>
      <c r="AY40" s="480"/>
      <c r="AZ40" s="480" t="str">
        <f>IF(AND('Mapa final'!$K$109="Alta",'Mapa final'!$O$109="Catastrófico"),CONCATENATE("R",'Mapa final'!$A$109),"")</f>
        <v/>
      </c>
      <c r="BA40" s="480"/>
      <c r="BB40" s="480" t="str">
        <f>IF(AND('Mapa final'!$K$112="Alta",'Mapa final'!$O$112="Catastrófico"),CONCATENATE("R",'Mapa final'!$A$112),"")</f>
        <v/>
      </c>
      <c r="BC40" s="480"/>
      <c r="BD40" s="480" t="str">
        <f>IF(AND('Mapa final'!$K$115="Alta",'Mapa final'!$O$115="Catastrófico"),CONCATENATE("R",'Mapa final'!$A$115),"")</f>
        <v/>
      </c>
      <c r="BE40" s="480"/>
      <c r="BF40" s="480" t="str">
        <f>IF(AND('Mapa final'!$K$118="Alta",'Mapa final'!$O$118="Catastrófico"),CONCATENATE("R",'Mapa final'!$A$118),"")</f>
        <v/>
      </c>
      <c r="BG40" s="481"/>
      <c r="BH40" s="56"/>
      <c r="BI40" s="513"/>
      <c r="BJ40" s="514"/>
      <c r="BK40" s="514"/>
      <c r="BL40" s="514"/>
      <c r="BM40" s="514"/>
      <c r="BN40" s="515"/>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row>
    <row r="41" spans="1:100" ht="15" customHeight="1" x14ac:dyDescent="0.35">
      <c r="A41" s="56"/>
      <c r="B41" s="307"/>
      <c r="C41" s="307"/>
      <c r="D41" s="308"/>
      <c r="E41" s="468"/>
      <c r="F41" s="469"/>
      <c r="G41" s="469"/>
      <c r="H41" s="469"/>
      <c r="I41" s="474"/>
      <c r="J41" s="457"/>
      <c r="K41" s="458"/>
      <c r="L41" s="458"/>
      <c r="M41" s="458"/>
      <c r="N41" s="458"/>
      <c r="O41" s="458"/>
      <c r="P41" s="458"/>
      <c r="Q41" s="458"/>
      <c r="R41" s="458"/>
      <c r="S41" s="461"/>
      <c r="T41" s="457"/>
      <c r="U41" s="458"/>
      <c r="V41" s="458"/>
      <c r="W41" s="458"/>
      <c r="X41" s="458"/>
      <c r="Y41" s="458"/>
      <c r="Z41" s="458"/>
      <c r="AA41" s="458"/>
      <c r="AB41" s="458"/>
      <c r="AC41" s="461"/>
      <c r="AD41" s="491"/>
      <c r="AE41" s="450"/>
      <c r="AF41" s="450"/>
      <c r="AG41" s="450"/>
      <c r="AH41" s="450"/>
      <c r="AI41" s="450"/>
      <c r="AJ41" s="450"/>
      <c r="AK41" s="450"/>
      <c r="AL41" s="450"/>
      <c r="AM41" s="490"/>
      <c r="AN41" s="491"/>
      <c r="AO41" s="450"/>
      <c r="AP41" s="450"/>
      <c r="AQ41" s="450"/>
      <c r="AR41" s="450"/>
      <c r="AS41" s="450"/>
      <c r="AT41" s="450"/>
      <c r="AU41" s="450"/>
      <c r="AV41" s="450"/>
      <c r="AW41" s="490"/>
      <c r="AX41" s="482"/>
      <c r="AY41" s="480"/>
      <c r="AZ41" s="480"/>
      <c r="BA41" s="480"/>
      <c r="BB41" s="480"/>
      <c r="BC41" s="480"/>
      <c r="BD41" s="480"/>
      <c r="BE41" s="480"/>
      <c r="BF41" s="480"/>
      <c r="BG41" s="481"/>
      <c r="BH41" s="56"/>
      <c r="BI41" s="513"/>
      <c r="BJ41" s="514"/>
      <c r="BK41" s="514"/>
      <c r="BL41" s="514"/>
      <c r="BM41" s="514"/>
      <c r="BN41" s="515"/>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row>
    <row r="42" spans="1:100" ht="15" customHeight="1" x14ac:dyDescent="0.35">
      <c r="A42" s="56"/>
      <c r="B42" s="307"/>
      <c r="C42" s="307"/>
      <c r="D42" s="308"/>
      <c r="E42" s="468"/>
      <c r="F42" s="469"/>
      <c r="G42" s="469"/>
      <c r="H42" s="469"/>
      <c r="I42" s="474"/>
      <c r="J42" s="457" t="str">
        <f>IF(AND('Mapa final'!$K$121="Alta",'Mapa final'!$O$121="Leve"),CONCATENATE("R",'Mapa final'!$A$121),"")</f>
        <v/>
      </c>
      <c r="K42" s="458"/>
      <c r="L42" s="458" t="str">
        <f>IF(AND('Mapa final'!$K$124="Alta",'Mapa final'!$O$124="Leve"),CONCATENATE("R",'Mapa final'!$A$124),"")</f>
        <v/>
      </c>
      <c r="M42" s="458"/>
      <c r="N42" s="458" t="str">
        <f>IF(AND('Mapa final'!$K$127="Alta",'Mapa final'!$O$127="Leve"),CONCATENATE("R",'Mapa final'!$A$127),"")</f>
        <v/>
      </c>
      <c r="O42" s="458"/>
      <c r="P42" s="458" t="str">
        <f>IF(AND('Mapa final'!$K$130="Alta",'Mapa final'!$O$130="Leve"),CONCATENATE("R",'Mapa final'!$A$130),"")</f>
        <v/>
      </c>
      <c r="Q42" s="458"/>
      <c r="R42" s="458" t="str">
        <f>IF(AND('Mapa final'!$K$133="Alta",'Mapa final'!$O$133="Leve"),CONCATENATE("R",'Mapa final'!$A$133),"")</f>
        <v/>
      </c>
      <c r="S42" s="461"/>
      <c r="T42" s="457" t="str">
        <f>IF(AND('Mapa final'!$K$121="Alta",'Mapa final'!$O$121="Menor"),CONCATENATE("R",'Mapa final'!$A$121),"")</f>
        <v/>
      </c>
      <c r="U42" s="458"/>
      <c r="V42" s="458" t="str">
        <f>IF(AND('Mapa final'!$K$124="Alta",'Mapa final'!$O$124="Menor"),CONCATENATE("R",'Mapa final'!$A$124),"")</f>
        <v/>
      </c>
      <c r="W42" s="458"/>
      <c r="X42" s="458" t="str">
        <f>IF(AND('Mapa final'!$K$127="Alta",'Mapa final'!$O$127="Menor"),CONCATENATE("R",'Mapa final'!$A$127),"")</f>
        <v/>
      </c>
      <c r="Y42" s="458"/>
      <c r="Z42" s="458" t="str">
        <f>IF(AND('Mapa final'!$K$130="Alta",'Mapa final'!$O$130="Menor"),CONCATENATE("R",'Mapa final'!$A$130),"")</f>
        <v/>
      </c>
      <c r="AA42" s="458"/>
      <c r="AB42" s="458" t="str">
        <f>IF(AND('Mapa final'!$K$133="Alta",'Mapa final'!$O$133="Menor"),CONCATENATE("R",'Mapa final'!$A$133),"")</f>
        <v/>
      </c>
      <c r="AC42" s="461"/>
      <c r="AD42" s="491" t="str">
        <f>IF(AND('Mapa final'!$K$121="Alta",'Mapa final'!$O$121="Moderado"),CONCATENATE("R",'Mapa final'!$A$121),"")</f>
        <v/>
      </c>
      <c r="AE42" s="450"/>
      <c r="AF42" s="450" t="str">
        <f>IF(AND('Mapa final'!$K$124="Alta",'Mapa final'!$O$124="Moderado"),CONCATENATE("R",'Mapa final'!$A$124),"")</f>
        <v/>
      </c>
      <c r="AG42" s="450"/>
      <c r="AH42" s="450" t="str">
        <f>IF(AND('Mapa final'!$K$127="Alta",'Mapa final'!$O$127="Moderado"),CONCATENATE("R",'Mapa final'!$A$127),"")</f>
        <v/>
      </c>
      <c r="AI42" s="450"/>
      <c r="AJ42" s="450" t="str">
        <f>IF(AND('Mapa final'!$K$130="Alta",'Mapa final'!$O$130="Moderado"),CONCATENATE("R",'Mapa final'!$A$130),"")</f>
        <v/>
      </c>
      <c r="AK42" s="450"/>
      <c r="AL42" s="450" t="str">
        <f>IF(AND('Mapa final'!$K$133="Alta",'Mapa final'!$O$133="Moderado"),CONCATENATE("R",'Mapa final'!$A$133),"")</f>
        <v/>
      </c>
      <c r="AM42" s="490"/>
      <c r="AN42" s="491" t="str">
        <f>IF(AND('Mapa final'!$K$121="Alta",'Mapa final'!$O$121="Mayor"),CONCATENATE("R",'Mapa final'!$A$121),"")</f>
        <v/>
      </c>
      <c r="AO42" s="450"/>
      <c r="AP42" s="450" t="str">
        <f>IF(AND('Mapa final'!$K$124="Alta",'Mapa final'!$O$124="Mayor"),CONCATENATE("R",'Mapa final'!$A$124),"")</f>
        <v/>
      </c>
      <c r="AQ42" s="450"/>
      <c r="AR42" s="450" t="str">
        <f>IF(AND('Mapa final'!$K$127="Alta",'Mapa final'!$O$127="Mayor"),CONCATENATE("R",'Mapa final'!$A$127),"")</f>
        <v/>
      </c>
      <c r="AS42" s="450"/>
      <c r="AT42" s="450" t="str">
        <f>IF(AND('Mapa final'!$K$130="Alta",'Mapa final'!$O$130="Mayor"),CONCATENATE("R",'Mapa final'!$A$130),"")</f>
        <v/>
      </c>
      <c r="AU42" s="450"/>
      <c r="AV42" s="450" t="str">
        <f>IF(AND('Mapa final'!$K$133="Alta",'Mapa final'!$O$133="Mayor"),CONCATENATE("R",'Mapa final'!$A$133),"")</f>
        <v/>
      </c>
      <c r="AW42" s="490"/>
      <c r="AX42" s="482" t="str">
        <f>IF(AND('Mapa final'!$K$121="Alta",'Mapa final'!$O$121="Catastrófico"),CONCATENATE("R",'Mapa final'!$A$121),"")</f>
        <v/>
      </c>
      <c r="AY42" s="480"/>
      <c r="AZ42" s="480" t="str">
        <f>IF(AND('Mapa final'!$K$124="Alta",'Mapa final'!$O$124="Catastrófico"),CONCATENATE("R",'Mapa final'!$A$124),"")</f>
        <v/>
      </c>
      <c r="BA42" s="480"/>
      <c r="BB42" s="480" t="str">
        <f>IF(AND('Mapa final'!$K$127="Alta",'Mapa final'!$O$127="Catastrófico"),CONCATENATE("R",'Mapa final'!$A$127),"")</f>
        <v/>
      </c>
      <c r="BC42" s="480"/>
      <c r="BD42" s="480" t="str">
        <f>IF(AND('Mapa final'!$K$130="Alta",'Mapa final'!$O$130="Catastrófico"),CONCATENATE("R",'Mapa final'!$A$130),"")</f>
        <v/>
      </c>
      <c r="BE42" s="480"/>
      <c r="BF42" s="480" t="str">
        <f>IF(AND('Mapa final'!$K$133="Alta",'Mapa final'!$O$133="Catastrófico"),CONCATENATE("R",'Mapa final'!$A$133),"")</f>
        <v/>
      </c>
      <c r="BG42" s="481"/>
      <c r="BH42" s="56"/>
      <c r="BI42" s="513"/>
      <c r="BJ42" s="514"/>
      <c r="BK42" s="514"/>
      <c r="BL42" s="514"/>
      <c r="BM42" s="514"/>
      <c r="BN42" s="515"/>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row>
    <row r="43" spans="1:100" ht="15" customHeight="1" x14ac:dyDescent="0.35">
      <c r="A43" s="56"/>
      <c r="B43" s="307"/>
      <c r="C43" s="307"/>
      <c r="D43" s="308"/>
      <c r="E43" s="468"/>
      <c r="F43" s="469"/>
      <c r="G43" s="469"/>
      <c r="H43" s="469"/>
      <c r="I43" s="474"/>
      <c r="J43" s="457"/>
      <c r="K43" s="458"/>
      <c r="L43" s="458"/>
      <c r="M43" s="458"/>
      <c r="N43" s="458"/>
      <c r="O43" s="458"/>
      <c r="P43" s="458"/>
      <c r="Q43" s="458"/>
      <c r="R43" s="458"/>
      <c r="S43" s="461"/>
      <c r="T43" s="457"/>
      <c r="U43" s="458"/>
      <c r="V43" s="458"/>
      <c r="W43" s="458"/>
      <c r="X43" s="458"/>
      <c r="Y43" s="458"/>
      <c r="Z43" s="458"/>
      <c r="AA43" s="458"/>
      <c r="AB43" s="458"/>
      <c r="AC43" s="461"/>
      <c r="AD43" s="491"/>
      <c r="AE43" s="450"/>
      <c r="AF43" s="450"/>
      <c r="AG43" s="450"/>
      <c r="AH43" s="450"/>
      <c r="AI43" s="450"/>
      <c r="AJ43" s="450"/>
      <c r="AK43" s="450"/>
      <c r="AL43" s="450"/>
      <c r="AM43" s="490"/>
      <c r="AN43" s="491"/>
      <c r="AO43" s="450"/>
      <c r="AP43" s="450"/>
      <c r="AQ43" s="450"/>
      <c r="AR43" s="450"/>
      <c r="AS43" s="450"/>
      <c r="AT43" s="450"/>
      <c r="AU43" s="450"/>
      <c r="AV43" s="450"/>
      <c r="AW43" s="490"/>
      <c r="AX43" s="482"/>
      <c r="AY43" s="480"/>
      <c r="AZ43" s="480"/>
      <c r="BA43" s="480"/>
      <c r="BB43" s="480"/>
      <c r="BC43" s="480"/>
      <c r="BD43" s="480"/>
      <c r="BE43" s="480"/>
      <c r="BF43" s="480"/>
      <c r="BG43" s="481"/>
      <c r="BH43" s="56"/>
      <c r="BI43" s="513"/>
      <c r="BJ43" s="514"/>
      <c r="BK43" s="514"/>
      <c r="BL43" s="514"/>
      <c r="BM43" s="514"/>
      <c r="BN43" s="515"/>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row>
    <row r="44" spans="1:100" ht="15" customHeight="1" x14ac:dyDescent="0.35">
      <c r="A44" s="56"/>
      <c r="B44" s="307"/>
      <c r="C44" s="307"/>
      <c r="D44" s="308"/>
      <c r="E44" s="468"/>
      <c r="F44" s="469"/>
      <c r="G44" s="469"/>
      <c r="H44" s="469"/>
      <c r="I44" s="474"/>
      <c r="J44" s="457" t="str">
        <f>IF(AND('Mapa final'!$K$136="Alta",'Mapa final'!$O$136="Leve"),CONCATENATE("R",'Mapa final'!$A$136),"")</f>
        <v/>
      </c>
      <c r="K44" s="458"/>
      <c r="L44" s="458" t="str">
        <f>IF(AND('Mapa final'!$K$139="Alta",'Mapa final'!$O$139="Leve"),CONCATENATE("R",'Mapa final'!$A$139),"")</f>
        <v/>
      </c>
      <c r="M44" s="458"/>
      <c r="N44" s="458" t="str">
        <f>IF(AND('Mapa final'!$K$142="Alta",'Mapa final'!$O$142="Leve"),CONCATENATE("R",'Mapa final'!$A$142),"")</f>
        <v/>
      </c>
      <c r="O44" s="458"/>
      <c r="P44" s="458" t="str">
        <f>IF(AND('Mapa final'!$K$145="Alta",'Mapa final'!$O$145="Leve"),CONCATENATE("R",'Mapa final'!$A$145),"")</f>
        <v/>
      </c>
      <c r="Q44" s="458"/>
      <c r="R44" s="458" t="str">
        <f>IF(AND('Mapa final'!$K$148="Alta",'Mapa final'!$O$148="Leve"),CONCATENATE("R",'Mapa final'!$A$148),"")</f>
        <v/>
      </c>
      <c r="S44" s="461"/>
      <c r="T44" s="457" t="str">
        <f>IF(AND('Mapa final'!$K$136="Alta",'Mapa final'!$O$136="Menor"),CONCATENATE("R",'Mapa final'!$A$136),"")</f>
        <v/>
      </c>
      <c r="U44" s="458"/>
      <c r="V44" s="458" t="str">
        <f>IF(AND('Mapa final'!$K$139="Alta",'Mapa final'!$O$139="Menor"),CONCATENATE("R",'Mapa final'!$A$139),"")</f>
        <v/>
      </c>
      <c r="W44" s="458"/>
      <c r="X44" s="458" t="str">
        <f>IF(AND('Mapa final'!$K$142="Alta",'Mapa final'!$O$142="Menor"),CONCATENATE("R",'Mapa final'!$A$142),"")</f>
        <v/>
      </c>
      <c r="Y44" s="458"/>
      <c r="Z44" s="458" t="str">
        <f>IF(AND('Mapa final'!$K$145="Alta",'Mapa final'!$O$145="Menor"),CONCATENATE("R",'Mapa final'!$A$145),"")</f>
        <v/>
      </c>
      <c r="AA44" s="458"/>
      <c r="AB44" s="458" t="str">
        <f>IF(AND('Mapa final'!$K$148="Alta",'Mapa final'!$O$148="Menor"),CONCATENATE("R",'Mapa final'!$A$148),"")</f>
        <v/>
      </c>
      <c r="AC44" s="461"/>
      <c r="AD44" s="491" t="str">
        <f>IF(AND('Mapa final'!$K$136="Alta",'Mapa final'!$O$136="Moderado"),CONCATENATE("R",'Mapa final'!$A$136),"")</f>
        <v/>
      </c>
      <c r="AE44" s="450"/>
      <c r="AF44" s="450" t="str">
        <f>IF(AND('Mapa final'!$K$139="Alta",'Mapa final'!$O$139="Moderado"),CONCATENATE("R",'Mapa final'!$A$139),"")</f>
        <v/>
      </c>
      <c r="AG44" s="450"/>
      <c r="AH44" s="450" t="str">
        <f>IF(AND('Mapa final'!$K$142="Alta",'Mapa final'!$O$142="Moderado"),CONCATENATE("R",'Mapa final'!$A$142),"")</f>
        <v/>
      </c>
      <c r="AI44" s="450"/>
      <c r="AJ44" s="450" t="str">
        <f>IF(AND('Mapa final'!$K$145="Alta",'Mapa final'!$O$145="Moderado"),CONCATENATE("R",'Mapa final'!$A$145),"")</f>
        <v/>
      </c>
      <c r="AK44" s="450"/>
      <c r="AL44" s="450" t="str">
        <f>IF(AND('Mapa final'!$K$148="Alta",'Mapa final'!$O$148="Moderado"),CONCATENATE("R",'Mapa final'!$A$148),"")</f>
        <v/>
      </c>
      <c r="AM44" s="490"/>
      <c r="AN44" s="491" t="str">
        <f>IF(AND('Mapa final'!$K$136="Alta",'Mapa final'!$O$136="Mayor"),CONCATENATE("R",'Mapa final'!$A$136),"")</f>
        <v/>
      </c>
      <c r="AO44" s="450"/>
      <c r="AP44" s="450" t="str">
        <f>IF(AND('Mapa final'!$K$139="Alta",'Mapa final'!$O$139="Mayor"),CONCATENATE("R",'Mapa final'!$A$139),"")</f>
        <v/>
      </c>
      <c r="AQ44" s="450"/>
      <c r="AR44" s="450" t="str">
        <f>IF(AND('Mapa final'!$K$142="Alta",'Mapa final'!$O$142="Mayor"),CONCATENATE("R",'Mapa final'!$A$142),"")</f>
        <v/>
      </c>
      <c r="AS44" s="450"/>
      <c r="AT44" s="450" t="str">
        <f>IF(AND('Mapa final'!$K$145="Alta",'Mapa final'!$O$145="Mayor"),CONCATENATE("R",'Mapa final'!$A$145),"")</f>
        <v/>
      </c>
      <c r="AU44" s="450"/>
      <c r="AV44" s="450" t="str">
        <f>IF(AND('Mapa final'!$K$148="Alta",'Mapa final'!$O$148="Mayor"),CONCATENATE("R",'Mapa final'!$A$148),"")</f>
        <v/>
      </c>
      <c r="AW44" s="490"/>
      <c r="AX44" s="482" t="str">
        <f>IF(AND('Mapa final'!$K$136="Alta",'Mapa final'!$O$136="Catastrófico"),CONCATENATE("R",'Mapa final'!$A$136),"")</f>
        <v/>
      </c>
      <c r="AY44" s="480"/>
      <c r="AZ44" s="480" t="str">
        <f>IF(AND('Mapa final'!$K$139="Alta",'Mapa final'!$O$139="Catastrófico"),CONCATENATE("R",'Mapa final'!$A$139),"")</f>
        <v/>
      </c>
      <c r="BA44" s="480"/>
      <c r="BB44" s="480" t="str">
        <f>IF(AND('Mapa final'!$K$142="Alta",'Mapa final'!$O$142="Catastrófico"),CONCATENATE("R",'Mapa final'!$A$142),"")</f>
        <v/>
      </c>
      <c r="BC44" s="480"/>
      <c r="BD44" s="480" t="str">
        <f>IF(AND('Mapa final'!$K$145="Alta",'Mapa final'!$O$145="Catastrófico"),CONCATENATE("R",'Mapa final'!$A$145),"")</f>
        <v/>
      </c>
      <c r="BE44" s="480"/>
      <c r="BF44" s="480" t="str">
        <f>IF(AND('Mapa final'!$K$148="Alta",'Mapa final'!$O$148="Catastrófico"),CONCATENATE("R",'Mapa final'!$A$148),"")</f>
        <v/>
      </c>
      <c r="BG44" s="481"/>
      <c r="BH44" s="56"/>
      <c r="BI44" s="513"/>
      <c r="BJ44" s="514"/>
      <c r="BK44" s="514"/>
      <c r="BL44" s="514"/>
      <c r="BM44" s="514"/>
      <c r="BN44" s="515"/>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row>
    <row r="45" spans="1:100" ht="15" customHeight="1" thickBot="1" x14ac:dyDescent="0.4">
      <c r="A45" s="56"/>
      <c r="B45" s="307"/>
      <c r="C45" s="307"/>
      <c r="D45" s="308"/>
      <c r="E45" s="468"/>
      <c r="F45" s="469"/>
      <c r="G45" s="469"/>
      <c r="H45" s="469"/>
      <c r="I45" s="474"/>
      <c r="J45" s="459"/>
      <c r="K45" s="460"/>
      <c r="L45" s="460"/>
      <c r="M45" s="460"/>
      <c r="N45" s="460"/>
      <c r="O45" s="460"/>
      <c r="P45" s="460"/>
      <c r="Q45" s="460"/>
      <c r="R45" s="460"/>
      <c r="S45" s="462"/>
      <c r="T45" s="459"/>
      <c r="U45" s="460"/>
      <c r="V45" s="460"/>
      <c r="W45" s="460"/>
      <c r="X45" s="460"/>
      <c r="Y45" s="460"/>
      <c r="Z45" s="460"/>
      <c r="AA45" s="460"/>
      <c r="AB45" s="460"/>
      <c r="AC45" s="462"/>
      <c r="AD45" s="492"/>
      <c r="AE45" s="489"/>
      <c r="AF45" s="489"/>
      <c r="AG45" s="489"/>
      <c r="AH45" s="489"/>
      <c r="AI45" s="489"/>
      <c r="AJ45" s="489"/>
      <c r="AK45" s="489"/>
      <c r="AL45" s="489"/>
      <c r="AM45" s="493"/>
      <c r="AN45" s="492"/>
      <c r="AO45" s="489"/>
      <c r="AP45" s="489"/>
      <c r="AQ45" s="489"/>
      <c r="AR45" s="489"/>
      <c r="AS45" s="489"/>
      <c r="AT45" s="489"/>
      <c r="AU45" s="489"/>
      <c r="AV45" s="489"/>
      <c r="AW45" s="493"/>
      <c r="AX45" s="483"/>
      <c r="AY45" s="484"/>
      <c r="AZ45" s="484"/>
      <c r="BA45" s="484"/>
      <c r="BB45" s="484"/>
      <c r="BC45" s="484"/>
      <c r="BD45" s="484"/>
      <c r="BE45" s="484"/>
      <c r="BF45" s="484"/>
      <c r="BG45" s="485"/>
      <c r="BH45" s="56"/>
      <c r="BI45" s="513"/>
      <c r="BJ45" s="514"/>
      <c r="BK45" s="514"/>
      <c r="BL45" s="514"/>
      <c r="BM45" s="514"/>
      <c r="BN45" s="515"/>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row>
    <row r="46" spans="1:100" ht="15" customHeight="1" x14ac:dyDescent="0.35">
      <c r="A46" s="56"/>
      <c r="B46" s="307"/>
      <c r="C46" s="307"/>
      <c r="D46" s="308"/>
      <c r="E46" s="465" t="s">
        <v>108</v>
      </c>
      <c r="F46" s="466"/>
      <c r="G46" s="466"/>
      <c r="H46" s="466"/>
      <c r="I46" s="466"/>
      <c r="J46" s="478" t="str">
        <f>IF(AND('Mapa final'!$K$7="Media",'Mapa final'!$O$7="Leve"),CONCATENATE("R",'Mapa final'!$A$7),"")</f>
        <v/>
      </c>
      <c r="K46" s="463"/>
      <c r="L46" s="463" t="str">
        <f>IF(AND('Mapa final'!$K$10="Media",'Mapa final'!$O$10="Leve"),CONCATENATE("R",'Mapa final'!$A$10),"")</f>
        <v/>
      </c>
      <c r="M46" s="463"/>
      <c r="N46" s="463" t="str">
        <f>IF(AND('Mapa final'!$K$13="Media",'Mapa final'!$O$13="Leve"),CONCATENATE("R",'Mapa final'!$A$13),"")</f>
        <v/>
      </c>
      <c r="O46" s="463"/>
      <c r="P46" s="463" t="e">
        <f>IF(AND('Mapa final'!#REF!="Media",'Mapa final'!#REF!="Leve"),CONCATENATE("R",'Mapa final'!#REF!),"")</f>
        <v>#REF!</v>
      </c>
      <c r="Q46" s="463"/>
      <c r="R46" s="463" t="e">
        <f>IF(AND('Mapa final'!#REF!="Media",'Mapa final'!#REF!="Leve"),CONCATENATE("R",'Mapa final'!#REF!),"")</f>
        <v>#REF!</v>
      </c>
      <c r="S46" s="479"/>
      <c r="T46" s="478" t="str">
        <f>IF(AND('Mapa final'!$K$7="Media",'Mapa final'!$O$7="Menor"),CONCATENATE("R",'Mapa final'!$A$7),"")</f>
        <v/>
      </c>
      <c r="U46" s="463"/>
      <c r="V46" s="463" t="str">
        <f>IF(AND('Mapa final'!$K$10="Media",'Mapa final'!$O$10="Menor"),CONCATENATE("R",'Mapa final'!$A$10),"")</f>
        <v/>
      </c>
      <c r="W46" s="463"/>
      <c r="X46" s="463" t="str">
        <f>IF(AND('Mapa final'!$K$13="Media",'Mapa final'!$O$13="Menor"),CONCATENATE("R",'Mapa final'!$A$13),"")</f>
        <v/>
      </c>
      <c r="Y46" s="463"/>
      <c r="Z46" s="463" t="e">
        <f>IF(AND('Mapa final'!#REF!="Media",'Mapa final'!#REF!="Menor"),CONCATENATE("R",'Mapa final'!#REF!),"")</f>
        <v>#REF!</v>
      </c>
      <c r="AA46" s="463"/>
      <c r="AB46" s="463" t="e">
        <f>IF(AND('Mapa final'!#REF!="Media",'Mapa final'!#REF!="Menor"),CONCATENATE("R",'Mapa final'!#REF!),"")</f>
        <v>#REF!</v>
      </c>
      <c r="AC46" s="479"/>
      <c r="AD46" s="478" t="str">
        <f>IF(AND('Mapa final'!$K$7="Media",'Mapa final'!$O$7="Moderado"),CONCATENATE("R",'Mapa final'!$A$7),"")</f>
        <v/>
      </c>
      <c r="AE46" s="463"/>
      <c r="AF46" s="463" t="str">
        <f>IF(AND('Mapa final'!$K$10="Media",'Mapa final'!$O$10="Moderado"),CONCATENATE("R",'Mapa final'!$A$10),"")</f>
        <v>R2</v>
      </c>
      <c r="AG46" s="463"/>
      <c r="AH46" s="463" t="str">
        <f>IF(AND('Mapa final'!$K$13="Media",'Mapa final'!$O$13="Moderado"),CONCATENATE("R",'Mapa final'!$A$13),"")</f>
        <v/>
      </c>
      <c r="AI46" s="463"/>
      <c r="AJ46" s="463" t="e">
        <f>IF(AND('Mapa final'!#REF!="Media",'Mapa final'!#REF!="Moderado"),CONCATENATE("R",'Mapa final'!#REF!),"")</f>
        <v>#REF!</v>
      </c>
      <c r="AK46" s="463"/>
      <c r="AL46" s="463" t="e">
        <f>IF(AND('Mapa final'!#REF!="Media",'Mapa final'!#REF!="Moderado"),CONCATENATE("R",'Mapa final'!#REF!),"")</f>
        <v>#REF!</v>
      </c>
      <c r="AM46" s="479"/>
      <c r="AN46" s="494" t="str">
        <f>IF(AND('Mapa final'!$K$7="Media",'Mapa final'!$O$7="Mayor"),CONCATENATE("R",'Mapa final'!$A$7),"")</f>
        <v/>
      </c>
      <c r="AO46" s="495"/>
      <c r="AP46" s="495" t="str">
        <f>IF(AND('Mapa final'!$K$10="Media",'Mapa final'!$O$10="Mayor"),CONCATENATE("R",'Mapa final'!$A$10),"")</f>
        <v/>
      </c>
      <c r="AQ46" s="495"/>
      <c r="AR46" s="495" t="str">
        <f>IF(AND('Mapa final'!$K$13="Media",'Mapa final'!$O$13="Mayor"),CONCATENATE("R",'Mapa final'!$A$13),"")</f>
        <v/>
      </c>
      <c r="AS46" s="495"/>
      <c r="AT46" s="495" t="e">
        <f>IF(AND('Mapa final'!#REF!="Media",'Mapa final'!#REF!="Mayor"),CONCATENATE("R",'Mapa final'!#REF!),"")</f>
        <v>#REF!</v>
      </c>
      <c r="AU46" s="495"/>
      <c r="AV46" s="495" t="e">
        <f>IF(AND('Mapa final'!#REF!="Media",'Mapa final'!#REF!="Mayor"),CONCATENATE("R",'Mapa final'!#REF!),"")</f>
        <v>#REF!</v>
      </c>
      <c r="AW46" s="496"/>
      <c r="AX46" s="486" t="str">
        <f>IF(AND('Mapa final'!$K$7="Media",'Mapa final'!$O$7="Catastrófico"),CONCATENATE("R",'Mapa final'!$A$7),"")</f>
        <v/>
      </c>
      <c r="AY46" s="487"/>
      <c r="AZ46" s="487" t="str">
        <f>IF(AND('Mapa final'!$K$10="Media",'Mapa final'!$O$10="Catastrófico"),CONCATENATE("R",'Mapa final'!$A$10),"")</f>
        <v/>
      </c>
      <c r="BA46" s="487"/>
      <c r="BB46" s="487" t="str">
        <f>IF(AND('Mapa final'!$K$13="Media",'Mapa final'!$O$13="Catastrófico"),CONCATENATE("R",'Mapa final'!$A$13),"")</f>
        <v/>
      </c>
      <c r="BC46" s="487"/>
      <c r="BD46" s="487" t="e">
        <f>IF(AND('Mapa final'!#REF!="Media",'Mapa final'!#REF!="Catastrófico"),CONCATENATE("R",'Mapa final'!#REF!),"")</f>
        <v>#REF!</v>
      </c>
      <c r="BE46" s="487"/>
      <c r="BF46" s="487" t="e">
        <f>IF(AND('Mapa final'!#REF!="Media",'Mapa final'!#REF!="Catastrófico"),CONCATENATE("R",'Mapa final'!#REF!),"")</f>
        <v>#REF!</v>
      </c>
      <c r="BG46" s="488"/>
      <c r="BH46" s="56"/>
      <c r="BI46" s="513"/>
      <c r="BJ46" s="514"/>
      <c r="BK46" s="514"/>
      <c r="BL46" s="514"/>
      <c r="BM46" s="514"/>
      <c r="BN46" s="515"/>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row>
    <row r="47" spans="1:100" ht="15" customHeight="1" x14ac:dyDescent="0.35">
      <c r="A47" s="56"/>
      <c r="B47" s="307"/>
      <c r="C47" s="307"/>
      <c r="D47" s="308"/>
      <c r="E47" s="468"/>
      <c r="F47" s="469"/>
      <c r="G47" s="469"/>
      <c r="H47" s="469"/>
      <c r="I47" s="474"/>
      <c r="J47" s="457"/>
      <c r="K47" s="458"/>
      <c r="L47" s="458"/>
      <c r="M47" s="458"/>
      <c r="N47" s="458"/>
      <c r="O47" s="458"/>
      <c r="P47" s="458"/>
      <c r="Q47" s="458"/>
      <c r="R47" s="458"/>
      <c r="S47" s="461"/>
      <c r="T47" s="457"/>
      <c r="U47" s="458"/>
      <c r="V47" s="458"/>
      <c r="W47" s="458"/>
      <c r="X47" s="458"/>
      <c r="Y47" s="458"/>
      <c r="Z47" s="458"/>
      <c r="AA47" s="458"/>
      <c r="AB47" s="458"/>
      <c r="AC47" s="461"/>
      <c r="AD47" s="457"/>
      <c r="AE47" s="458"/>
      <c r="AF47" s="458"/>
      <c r="AG47" s="458"/>
      <c r="AH47" s="458"/>
      <c r="AI47" s="458"/>
      <c r="AJ47" s="458"/>
      <c r="AK47" s="458"/>
      <c r="AL47" s="458"/>
      <c r="AM47" s="461"/>
      <c r="AN47" s="491"/>
      <c r="AO47" s="450"/>
      <c r="AP47" s="450"/>
      <c r="AQ47" s="450"/>
      <c r="AR47" s="450"/>
      <c r="AS47" s="450"/>
      <c r="AT47" s="450"/>
      <c r="AU47" s="450"/>
      <c r="AV47" s="450"/>
      <c r="AW47" s="490"/>
      <c r="AX47" s="482"/>
      <c r="AY47" s="480"/>
      <c r="AZ47" s="480"/>
      <c r="BA47" s="480"/>
      <c r="BB47" s="480"/>
      <c r="BC47" s="480"/>
      <c r="BD47" s="480"/>
      <c r="BE47" s="480"/>
      <c r="BF47" s="480"/>
      <c r="BG47" s="481"/>
      <c r="BH47" s="56"/>
      <c r="BI47" s="513"/>
      <c r="BJ47" s="514"/>
      <c r="BK47" s="514"/>
      <c r="BL47" s="514"/>
      <c r="BM47" s="514"/>
      <c r="BN47" s="515"/>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row>
    <row r="48" spans="1:100" ht="15" customHeight="1" x14ac:dyDescent="0.35">
      <c r="A48" s="56"/>
      <c r="B48" s="307"/>
      <c r="C48" s="307"/>
      <c r="D48" s="308"/>
      <c r="E48" s="468"/>
      <c r="F48" s="469"/>
      <c r="G48" s="469"/>
      <c r="H48" s="469"/>
      <c r="I48" s="474"/>
      <c r="J48" s="457" t="str">
        <f>IF(AND('Mapa final'!$K$16="Media",'Mapa final'!$O$16="Leve"),CONCATENATE("R",'Mapa final'!$A$16),"")</f>
        <v/>
      </c>
      <c r="K48" s="458"/>
      <c r="L48" s="458" t="str">
        <f>IF(AND('Mapa final'!$K$19="Media",'Mapa final'!$O$19="Leve"),CONCATENATE("R",'Mapa final'!$A$19),"")</f>
        <v/>
      </c>
      <c r="M48" s="458"/>
      <c r="N48" s="458" t="str">
        <f>IF(AND('Mapa final'!$K$22="Media",'Mapa final'!$O$22="Leve"),CONCATENATE("R",'Mapa final'!$A$22),"")</f>
        <v/>
      </c>
      <c r="O48" s="458"/>
      <c r="P48" s="458" t="str">
        <f>IF(AND('Mapa final'!$K$25="Media",'Mapa final'!$O$25="Leve"),CONCATENATE("R",'Mapa final'!$A$25),"")</f>
        <v/>
      </c>
      <c r="Q48" s="458"/>
      <c r="R48" s="458" t="str">
        <f>IF(AND('Mapa final'!$K$28="Media",'Mapa final'!$O$28="Leve"),CONCATENATE("R",'Mapa final'!$A$28),"")</f>
        <v/>
      </c>
      <c r="S48" s="461"/>
      <c r="T48" s="457" t="str">
        <f>IF(AND('Mapa final'!$K$16="Media",'Mapa final'!$O$16="Menor"),CONCATENATE("R",'Mapa final'!$A$16),"")</f>
        <v/>
      </c>
      <c r="U48" s="458"/>
      <c r="V48" s="458" t="str">
        <f>IF(AND('Mapa final'!$K$19="Media",'Mapa final'!$O$19="Menor"),CONCATENATE("R",'Mapa final'!$A$19),"")</f>
        <v/>
      </c>
      <c r="W48" s="458"/>
      <c r="X48" s="458" t="str">
        <f>IF(AND('Mapa final'!$K$22="Media",'Mapa final'!$O$22="Menor"),CONCATENATE("R",'Mapa final'!$A$22),"")</f>
        <v/>
      </c>
      <c r="Y48" s="458"/>
      <c r="Z48" s="458" t="str">
        <f>IF(AND('Mapa final'!$K$25="Media",'Mapa final'!$O$25="Menor"),CONCATENATE("R",'Mapa final'!$A$25),"")</f>
        <v/>
      </c>
      <c r="AA48" s="458"/>
      <c r="AB48" s="458" t="str">
        <f>IF(AND('Mapa final'!$K$28="Media",'Mapa final'!$O$28="Menor"),CONCATENATE("R",'Mapa final'!$A$28),"")</f>
        <v/>
      </c>
      <c r="AC48" s="461"/>
      <c r="AD48" s="457" t="str">
        <f>IF(AND('Mapa final'!$K$16="Media",'Mapa final'!$O$16="Moderado"),CONCATENATE("R",'Mapa final'!$A$16),"")</f>
        <v/>
      </c>
      <c r="AE48" s="458"/>
      <c r="AF48" s="458" t="str">
        <f>IF(AND('Mapa final'!$K$19="Media",'Mapa final'!$O$19="Moderado"),CONCATENATE("R",'Mapa final'!$A$19),"")</f>
        <v/>
      </c>
      <c r="AG48" s="458"/>
      <c r="AH48" s="458" t="str">
        <f>IF(AND('Mapa final'!$K$22="Media",'Mapa final'!$O$22="Moderado"),CONCATENATE("R",'Mapa final'!$A$22),"")</f>
        <v/>
      </c>
      <c r="AI48" s="458"/>
      <c r="AJ48" s="458" t="str">
        <f>IF(AND('Mapa final'!$K$25="Media",'Mapa final'!$O$25="Moderado"),CONCATENATE("R",'Mapa final'!$A$25),"")</f>
        <v/>
      </c>
      <c r="AK48" s="458"/>
      <c r="AL48" s="458" t="str">
        <f>IF(AND('Mapa final'!$K$28="Media",'Mapa final'!$O$28="Moderado"),CONCATENATE("R",'Mapa final'!$A$28),"")</f>
        <v/>
      </c>
      <c r="AM48" s="461"/>
      <c r="AN48" s="491" t="str">
        <f>IF(AND('Mapa final'!$K$16="Media",'Mapa final'!$O$16="Mayor"),CONCATENATE("R",'Mapa final'!$A$16),"")</f>
        <v/>
      </c>
      <c r="AO48" s="450"/>
      <c r="AP48" s="450" t="str">
        <f>IF(AND('Mapa final'!$K$19="Media",'Mapa final'!$O$19="Mayor"),CONCATENATE("R",'Mapa final'!$A$19),"")</f>
        <v/>
      </c>
      <c r="AQ48" s="450"/>
      <c r="AR48" s="450" t="str">
        <f>IF(AND('Mapa final'!$K$22="Media",'Mapa final'!$O$22="Mayor"),CONCATENATE("R",'Mapa final'!$A$22),"")</f>
        <v/>
      </c>
      <c r="AS48" s="450"/>
      <c r="AT48" s="450" t="str">
        <f>IF(AND('Mapa final'!$K$25="Media",'Mapa final'!$O$25="Mayor"),CONCATENATE("R",'Mapa final'!$A$25),"")</f>
        <v/>
      </c>
      <c r="AU48" s="450"/>
      <c r="AV48" s="450" t="str">
        <f>IF(AND('Mapa final'!$K$28="Media",'Mapa final'!$O$28="Mayor"),CONCATENATE("R",'Mapa final'!$A$28),"")</f>
        <v/>
      </c>
      <c r="AW48" s="490"/>
      <c r="AX48" s="482" t="str">
        <f>IF(AND('Mapa final'!$K$16="Media",'Mapa final'!$O$16="Catastrófico"),CONCATENATE("R",'Mapa final'!$A$16),"")</f>
        <v/>
      </c>
      <c r="AY48" s="480"/>
      <c r="AZ48" s="480" t="str">
        <f>IF(AND('Mapa final'!$K$19="Media",'Mapa final'!$O$19="Catastrófico"),CONCATENATE("R",'Mapa final'!$A$19),"")</f>
        <v/>
      </c>
      <c r="BA48" s="480"/>
      <c r="BB48" s="480" t="str">
        <f>IF(AND('Mapa final'!$K$22="Media",'Mapa final'!$O$22="Catastrófico"),CONCATENATE("R",'Mapa final'!$A$22),"")</f>
        <v/>
      </c>
      <c r="BC48" s="480"/>
      <c r="BD48" s="480" t="str">
        <f>IF(AND('Mapa final'!$K$25="Media",'Mapa final'!$O$25="Catastrófico"),CONCATENATE("R",'Mapa final'!$A$25),"")</f>
        <v/>
      </c>
      <c r="BE48" s="480"/>
      <c r="BF48" s="480" t="str">
        <f>IF(AND('Mapa final'!$K$28="Media",'Mapa final'!$O$28="Catastrófico"),CONCATENATE("R",'Mapa final'!$A$28),"")</f>
        <v/>
      </c>
      <c r="BG48" s="481"/>
      <c r="BH48" s="56"/>
      <c r="BI48" s="513"/>
      <c r="BJ48" s="514"/>
      <c r="BK48" s="514"/>
      <c r="BL48" s="514"/>
      <c r="BM48" s="514"/>
      <c r="BN48" s="515"/>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row>
    <row r="49" spans="1:100" ht="15" customHeight="1" x14ac:dyDescent="0.35">
      <c r="A49" s="56"/>
      <c r="B49" s="307"/>
      <c r="C49" s="307"/>
      <c r="D49" s="308"/>
      <c r="E49" s="468"/>
      <c r="F49" s="469"/>
      <c r="G49" s="469"/>
      <c r="H49" s="469"/>
      <c r="I49" s="474"/>
      <c r="J49" s="457"/>
      <c r="K49" s="458"/>
      <c r="L49" s="458"/>
      <c r="M49" s="458"/>
      <c r="N49" s="458"/>
      <c r="O49" s="458"/>
      <c r="P49" s="458"/>
      <c r="Q49" s="458"/>
      <c r="R49" s="458"/>
      <c r="S49" s="461"/>
      <c r="T49" s="457"/>
      <c r="U49" s="458"/>
      <c r="V49" s="458"/>
      <c r="W49" s="458"/>
      <c r="X49" s="458"/>
      <c r="Y49" s="458"/>
      <c r="Z49" s="458"/>
      <c r="AA49" s="458"/>
      <c r="AB49" s="458"/>
      <c r="AC49" s="461"/>
      <c r="AD49" s="457"/>
      <c r="AE49" s="458"/>
      <c r="AF49" s="458"/>
      <c r="AG49" s="458"/>
      <c r="AH49" s="458"/>
      <c r="AI49" s="458"/>
      <c r="AJ49" s="458"/>
      <c r="AK49" s="458"/>
      <c r="AL49" s="458"/>
      <c r="AM49" s="461"/>
      <c r="AN49" s="491"/>
      <c r="AO49" s="450"/>
      <c r="AP49" s="450"/>
      <c r="AQ49" s="450"/>
      <c r="AR49" s="450"/>
      <c r="AS49" s="450"/>
      <c r="AT49" s="450"/>
      <c r="AU49" s="450"/>
      <c r="AV49" s="450"/>
      <c r="AW49" s="490"/>
      <c r="AX49" s="482"/>
      <c r="AY49" s="480"/>
      <c r="AZ49" s="480"/>
      <c r="BA49" s="480"/>
      <c r="BB49" s="480"/>
      <c r="BC49" s="480"/>
      <c r="BD49" s="480"/>
      <c r="BE49" s="480"/>
      <c r="BF49" s="480"/>
      <c r="BG49" s="481"/>
      <c r="BH49" s="56"/>
      <c r="BI49" s="513"/>
      <c r="BJ49" s="514"/>
      <c r="BK49" s="514"/>
      <c r="BL49" s="514"/>
      <c r="BM49" s="514"/>
      <c r="BN49" s="515"/>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row>
    <row r="50" spans="1:100" ht="15" customHeight="1" x14ac:dyDescent="0.35">
      <c r="A50" s="56"/>
      <c r="B50" s="307"/>
      <c r="C50" s="307"/>
      <c r="D50" s="308"/>
      <c r="E50" s="468"/>
      <c r="F50" s="469"/>
      <c r="G50" s="469"/>
      <c r="H50" s="469"/>
      <c r="I50" s="474"/>
      <c r="J50" s="457" t="str">
        <f>IF(AND('Mapa final'!$K$31="Media",'Mapa final'!$O$31="Leve"),CONCATENATE("R",'Mapa final'!$A$31),"")</f>
        <v/>
      </c>
      <c r="K50" s="458"/>
      <c r="L50" s="458" t="str">
        <f>IF(AND('Mapa final'!$K$34="Media",'Mapa final'!$O$34="Leve"),CONCATENATE("R",'Mapa final'!$A$34),"")</f>
        <v/>
      </c>
      <c r="M50" s="458"/>
      <c r="N50" s="458" t="str">
        <f>IF(AND('Mapa final'!$K$37="Media",'Mapa final'!$O$37="Leve"),CONCATENATE("R",'Mapa final'!$A$37),"")</f>
        <v/>
      </c>
      <c r="O50" s="458"/>
      <c r="P50" s="458" t="str">
        <f>IF(AND('Mapa final'!$K$40="Media",'Mapa final'!$O$40="Leve"),CONCATENATE("R",'Mapa final'!$A$40),"")</f>
        <v/>
      </c>
      <c r="Q50" s="458"/>
      <c r="R50" s="458" t="str">
        <f>IF(AND('Mapa final'!$K$43="Media",'Mapa final'!$O$43="Leve"),CONCATENATE("R",'Mapa final'!$A$43),"")</f>
        <v/>
      </c>
      <c r="S50" s="461"/>
      <c r="T50" s="457" t="str">
        <f>IF(AND('Mapa final'!$K$31="Media",'Mapa final'!$O$31="Menor"),CONCATENATE("R",'Mapa final'!$A$31),"")</f>
        <v/>
      </c>
      <c r="U50" s="458"/>
      <c r="V50" s="458" t="str">
        <f>IF(AND('Mapa final'!$K$34="Media",'Mapa final'!$O$34="Menor"),CONCATENATE("R",'Mapa final'!$A$34),"")</f>
        <v/>
      </c>
      <c r="W50" s="458"/>
      <c r="X50" s="458" t="str">
        <f>IF(AND('Mapa final'!$K$37="Media",'Mapa final'!$O$37="Menor"),CONCATENATE("R",'Mapa final'!$A$37),"")</f>
        <v/>
      </c>
      <c r="Y50" s="458"/>
      <c r="Z50" s="458" t="str">
        <f>IF(AND('Mapa final'!$K$40="Media",'Mapa final'!$O$40="Menor"),CONCATENATE("R",'Mapa final'!$A$40),"")</f>
        <v/>
      </c>
      <c r="AA50" s="458"/>
      <c r="AB50" s="458" t="str">
        <f>IF(AND('Mapa final'!$K$43="Media",'Mapa final'!$O$43="Menor"),CONCATENATE("R",'Mapa final'!$A$43),"")</f>
        <v/>
      </c>
      <c r="AC50" s="461"/>
      <c r="AD50" s="457" t="str">
        <f>IF(AND('Mapa final'!$K$31="Media",'Mapa final'!$O$31="Moderado"),CONCATENATE("R",'Mapa final'!$A$31),"")</f>
        <v/>
      </c>
      <c r="AE50" s="458"/>
      <c r="AF50" s="458" t="str">
        <f>IF(AND('Mapa final'!$K$34="Media",'Mapa final'!$O$34="Moderado"),CONCATENATE("R",'Mapa final'!$A$34),"")</f>
        <v/>
      </c>
      <c r="AG50" s="458"/>
      <c r="AH50" s="458" t="str">
        <f>IF(AND('Mapa final'!$K$37="Media",'Mapa final'!$O$37="Moderado"),CONCATENATE("R",'Mapa final'!$A$37),"")</f>
        <v/>
      </c>
      <c r="AI50" s="458"/>
      <c r="AJ50" s="458" t="str">
        <f>IF(AND('Mapa final'!$K$40="Media",'Mapa final'!$O$40="Moderado"),CONCATENATE("R",'Mapa final'!$A$40),"")</f>
        <v/>
      </c>
      <c r="AK50" s="458"/>
      <c r="AL50" s="458" t="str">
        <f>IF(AND('Mapa final'!$K$43="Media",'Mapa final'!$O$43="Moderado"),CONCATENATE("R",'Mapa final'!$A$43),"")</f>
        <v/>
      </c>
      <c r="AM50" s="461"/>
      <c r="AN50" s="491" t="str">
        <f>IF(AND('Mapa final'!$K$31="Media",'Mapa final'!$O$31="Mayor"),CONCATENATE("R",'Mapa final'!$A$31),"")</f>
        <v/>
      </c>
      <c r="AO50" s="450"/>
      <c r="AP50" s="450" t="str">
        <f>IF(AND('Mapa final'!$K$34="Media",'Mapa final'!$O$34="Mayor"),CONCATENATE("R",'Mapa final'!$A$34),"")</f>
        <v/>
      </c>
      <c r="AQ50" s="450"/>
      <c r="AR50" s="450" t="str">
        <f>IF(AND('Mapa final'!$K$37="Media",'Mapa final'!$O$37="Mayor"),CONCATENATE("R",'Mapa final'!$A$37),"")</f>
        <v/>
      </c>
      <c r="AS50" s="450"/>
      <c r="AT50" s="450" t="str">
        <f>IF(AND('Mapa final'!$K$40="Media",'Mapa final'!$O$40="Mayor"),CONCATENATE("R",'Mapa final'!$A$40),"")</f>
        <v/>
      </c>
      <c r="AU50" s="450"/>
      <c r="AV50" s="450" t="str">
        <f>IF(AND('Mapa final'!$K$43="Media",'Mapa final'!$O$43="Mayor"),CONCATENATE("R",'Mapa final'!$A$43),"")</f>
        <v/>
      </c>
      <c r="AW50" s="490"/>
      <c r="AX50" s="482" t="str">
        <f>IF(AND('Mapa final'!$K$31="Media",'Mapa final'!$O$31="Catastrófico"),CONCATENATE("R",'Mapa final'!$A$31),"")</f>
        <v/>
      </c>
      <c r="AY50" s="480"/>
      <c r="AZ50" s="480" t="str">
        <f>IF(AND('Mapa final'!$K$34="Media",'Mapa final'!$O$34="Catastrófico"),CONCATENATE("R",'Mapa final'!$A$34),"")</f>
        <v/>
      </c>
      <c r="BA50" s="480"/>
      <c r="BB50" s="480" t="str">
        <f>IF(AND('Mapa final'!$K$37="Media",'Mapa final'!$O$37="Catastrófico"),CONCATENATE("R",'Mapa final'!$A$37),"")</f>
        <v/>
      </c>
      <c r="BC50" s="480"/>
      <c r="BD50" s="480" t="str">
        <f>IF(AND('Mapa final'!$K$40="Media",'Mapa final'!$O$40="Catastrófico"),CONCATENATE("R",'Mapa final'!$A$40),"")</f>
        <v/>
      </c>
      <c r="BE50" s="480"/>
      <c r="BF50" s="480" t="str">
        <f>IF(AND('Mapa final'!$K$43="Media",'Mapa final'!$O$43="Catastrófico"),CONCATENATE("R",'Mapa final'!$A$43),"")</f>
        <v/>
      </c>
      <c r="BG50" s="481"/>
      <c r="BH50" s="56"/>
      <c r="BI50" s="513"/>
      <c r="BJ50" s="514"/>
      <c r="BK50" s="514"/>
      <c r="BL50" s="514"/>
      <c r="BM50" s="514"/>
      <c r="BN50" s="515"/>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row>
    <row r="51" spans="1:100" ht="15" customHeight="1" x14ac:dyDescent="0.35">
      <c r="A51" s="56"/>
      <c r="B51" s="307"/>
      <c r="C51" s="307"/>
      <c r="D51" s="308"/>
      <c r="E51" s="468"/>
      <c r="F51" s="469"/>
      <c r="G51" s="469"/>
      <c r="H51" s="469"/>
      <c r="I51" s="474"/>
      <c r="J51" s="457"/>
      <c r="K51" s="458"/>
      <c r="L51" s="458"/>
      <c r="M51" s="458"/>
      <c r="N51" s="458"/>
      <c r="O51" s="458"/>
      <c r="P51" s="458"/>
      <c r="Q51" s="458"/>
      <c r="R51" s="458"/>
      <c r="S51" s="461"/>
      <c r="T51" s="457"/>
      <c r="U51" s="458"/>
      <c r="V51" s="458"/>
      <c r="W51" s="458"/>
      <c r="X51" s="458"/>
      <c r="Y51" s="458"/>
      <c r="Z51" s="458"/>
      <c r="AA51" s="458"/>
      <c r="AB51" s="458"/>
      <c r="AC51" s="461"/>
      <c r="AD51" s="457"/>
      <c r="AE51" s="458"/>
      <c r="AF51" s="458"/>
      <c r="AG51" s="458"/>
      <c r="AH51" s="458"/>
      <c r="AI51" s="458"/>
      <c r="AJ51" s="458"/>
      <c r="AK51" s="458"/>
      <c r="AL51" s="458"/>
      <c r="AM51" s="461"/>
      <c r="AN51" s="491"/>
      <c r="AO51" s="450"/>
      <c r="AP51" s="450"/>
      <c r="AQ51" s="450"/>
      <c r="AR51" s="450"/>
      <c r="AS51" s="450"/>
      <c r="AT51" s="450"/>
      <c r="AU51" s="450"/>
      <c r="AV51" s="450"/>
      <c r="AW51" s="490"/>
      <c r="AX51" s="482"/>
      <c r="AY51" s="480"/>
      <c r="AZ51" s="480"/>
      <c r="BA51" s="480"/>
      <c r="BB51" s="480"/>
      <c r="BC51" s="480"/>
      <c r="BD51" s="480"/>
      <c r="BE51" s="480"/>
      <c r="BF51" s="480"/>
      <c r="BG51" s="481"/>
      <c r="BH51" s="56"/>
      <c r="BI51" s="513"/>
      <c r="BJ51" s="514"/>
      <c r="BK51" s="514"/>
      <c r="BL51" s="514"/>
      <c r="BM51" s="514"/>
      <c r="BN51" s="515"/>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row>
    <row r="52" spans="1:100" ht="15" customHeight="1" x14ac:dyDescent="0.35">
      <c r="A52" s="56"/>
      <c r="B52" s="307"/>
      <c r="C52" s="307"/>
      <c r="D52" s="308"/>
      <c r="E52" s="468"/>
      <c r="F52" s="469"/>
      <c r="G52" s="469"/>
      <c r="H52" s="469"/>
      <c r="I52" s="474"/>
      <c r="J52" s="457" t="str">
        <f>IF(AND('Mapa final'!$K$46="Media",'Mapa final'!$O$46="Leve"),CONCATENATE("R",'Mapa final'!$A$46),"")</f>
        <v/>
      </c>
      <c r="K52" s="458"/>
      <c r="L52" s="458" t="str">
        <f>IF(AND('Mapa final'!$K$49="Media",'Mapa final'!$O$49="Leve"),CONCATENATE("R",'Mapa final'!$A$49),"")</f>
        <v/>
      </c>
      <c r="M52" s="458"/>
      <c r="N52" s="458" t="str">
        <f>IF(AND('Mapa final'!$K$52="Media",'Mapa final'!$O$52="Leve"),CONCATENATE("R",'Mapa final'!$A$52),"")</f>
        <v/>
      </c>
      <c r="O52" s="458"/>
      <c r="P52" s="458" t="str">
        <f>IF(AND('Mapa final'!$K$55="Media",'Mapa final'!$O$55="Leve"),CONCATENATE("R",'Mapa final'!$A$55),"")</f>
        <v/>
      </c>
      <c r="Q52" s="458"/>
      <c r="R52" s="458" t="str">
        <f>IF(AND('Mapa final'!$K$58="Media",'Mapa final'!$O$58="Leve"),CONCATENATE("R",'Mapa final'!$A$58),"")</f>
        <v/>
      </c>
      <c r="S52" s="461"/>
      <c r="T52" s="457" t="str">
        <f>IF(AND('Mapa final'!$K$46="Media",'Mapa final'!$O$46="Menor"),CONCATENATE("R",'Mapa final'!$A$46),"")</f>
        <v/>
      </c>
      <c r="U52" s="458"/>
      <c r="V52" s="458" t="str">
        <f>IF(AND('Mapa final'!$K$49="Media",'Mapa final'!$O$49="Menor"),CONCATENATE("R",'Mapa final'!$A$49),"")</f>
        <v/>
      </c>
      <c r="W52" s="458"/>
      <c r="X52" s="458" t="str">
        <f>IF(AND('Mapa final'!$K$52="Media",'Mapa final'!$O$52="Menor"),CONCATENATE("R",'Mapa final'!$A$52),"")</f>
        <v/>
      </c>
      <c r="Y52" s="458"/>
      <c r="Z52" s="458" t="str">
        <f>IF(AND('Mapa final'!$K$55="Media",'Mapa final'!$O$55="Menor"),CONCATENATE("R",'Mapa final'!$A$55),"")</f>
        <v/>
      </c>
      <c r="AA52" s="458"/>
      <c r="AB52" s="458" t="str">
        <f>IF(AND('Mapa final'!$K$58="Media",'Mapa final'!$O$58="Menor"),CONCATENATE("R",'Mapa final'!$A$58),"")</f>
        <v/>
      </c>
      <c r="AC52" s="461"/>
      <c r="AD52" s="457" t="str">
        <f>IF(AND('Mapa final'!$K$46="Media",'Mapa final'!$O$46="Moderado"),CONCATENATE("R",'Mapa final'!$A$46),"")</f>
        <v>R15</v>
      </c>
      <c r="AE52" s="458"/>
      <c r="AF52" s="458" t="str">
        <f>IF(AND('Mapa final'!$K$49="Media",'Mapa final'!$O$49="Moderado"),CONCATENATE("R",'Mapa final'!$A$49),"")</f>
        <v/>
      </c>
      <c r="AG52" s="458"/>
      <c r="AH52" s="458" t="str">
        <f>IF(AND('Mapa final'!$K$52="Media",'Mapa final'!$O$52="Moderado"),CONCATENATE("R",'Mapa final'!$A$52),"")</f>
        <v>R17</v>
      </c>
      <c r="AI52" s="458"/>
      <c r="AJ52" s="458" t="str">
        <f>IF(AND('Mapa final'!$K$55="Media",'Mapa final'!$O$55="Moderado"),CONCATENATE("R",'Mapa final'!$A$55),"")</f>
        <v>R18</v>
      </c>
      <c r="AK52" s="458"/>
      <c r="AL52" s="458" t="str">
        <f>IF(AND('Mapa final'!$K$58="Media",'Mapa final'!$O$58="Moderado"),CONCATENATE("R",'Mapa final'!$A$58),"")</f>
        <v/>
      </c>
      <c r="AM52" s="461"/>
      <c r="AN52" s="491" t="str">
        <f>IF(AND('Mapa final'!$K$46="Media",'Mapa final'!$O$46="Mayor"),CONCATENATE("R",'Mapa final'!$A$46),"")</f>
        <v/>
      </c>
      <c r="AO52" s="450"/>
      <c r="AP52" s="450" t="str">
        <f>IF(AND('Mapa final'!$K$49="Media",'Mapa final'!$O$49="Mayor"),CONCATENATE("R",'Mapa final'!$A$49),"")</f>
        <v/>
      </c>
      <c r="AQ52" s="450"/>
      <c r="AR52" s="450" t="str">
        <f>IF(AND('Mapa final'!$K$52="Media",'Mapa final'!$O$52="Mayor"),CONCATENATE("R",'Mapa final'!$A$52),"")</f>
        <v/>
      </c>
      <c r="AS52" s="450"/>
      <c r="AT52" s="450" t="str">
        <f>IF(AND('Mapa final'!$K$55="Media",'Mapa final'!$O$55="Mayor"),CONCATENATE("R",'Mapa final'!$A$55),"")</f>
        <v/>
      </c>
      <c r="AU52" s="450"/>
      <c r="AV52" s="450" t="str">
        <f>IF(AND('Mapa final'!$K$58="Media",'Mapa final'!$O$58="Mayor"),CONCATENATE("R",'Mapa final'!$A$58),"")</f>
        <v>R19</v>
      </c>
      <c r="AW52" s="490"/>
      <c r="AX52" s="482" t="str">
        <f>IF(AND('Mapa final'!$K$46="Media",'Mapa final'!$O$46="Catastrófico"),CONCATENATE("R",'Mapa final'!$A$46),"")</f>
        <v/>
      </c>
      <c r="AY52" s="480"/>
      <c r="AZ52" s="480" t="str">
        <f>IF(AND('Mapa final'!$K$49="Media",'Mapa final'!$O$49="Catastrófico"),CONCATENATE("R",'Mapa final'!$A$49),"")</f>
        <v/>
      </c>
      <c r="BA52" s="480"/>
      <c r="BB52" s="480" t="str">
        <f>IF(AND('Mapa final'!$K$52="Media",'Mapa final'!$O$52="Catastrófico"),CONCATENATE("R",'Mapa final'!$A$52),"")</f>
        <v/>
      </c>
      <c r="BC52" s="480"/>
      <c r="BD52" s="480" t="str">
        <f>IF(AND('Mapa final'!$K$55="Media",'Mapa final'!$O$55="Catastrófico"),CONCATENATE("R",'Mapa final'!$A$55),"")</f>
        <v/>
      </c>
      <c r="BE52" s="480"/>
      <c r="BF52" s="480" t="str">
        <f>IF(AND('Mapa final'!$K$58="Media",'Mapa final'!$O$58="Catastrófico"),CONCATENATE("R",'Mapa final'!$A$58),"")</f>
        <v/>
      </c>
      <c r="BG52" s="481"/>
      <c r="BH52" s="56"/>
      <c r="BI52" s="513"/>
      <c r="BJ52" s="514"/>
      <c r="BK52" s="514"/>
      <c r="BL52" s="514"/>
      <c r="BM52" s="514"/>
      <c r="BN52" s="515"/>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row>
    <row r="53" spans="1:100" ht="15" customHeight="1" thickBot="1" x14ac:dyDescent="0.4">
      <c r="A53" s="56"/>
      <c r="B53" s="307"/>
      <c r="C53" s="307"/>
      <c r="D53" s="308"/>
      <c r="E53" s="468"/>
      <c r="F53" s="469"/>
      <c r="G53" s="469"/>
      <c r="H53" s="469"/>
      <c r="I53" s="474"/>
      <c r="J53" s="457"/>
      <c r="K53" s="458"/>
      <c r="L53" s="458"/>
      <c r="M53" s="458"/>
      <c r="N53" s="458"/>
      <c r="O53" s="458"/>
      <c r="P53" s="458"/>
      <c r="Q53" s="458"/>
      <c r="R53" s="458"/>
      <c r="S53" s="461"/>
      <c r="T53" s="457"/>
      <c r="U53" s="458"/>
      <c r="V53" s="458"/>
      <c r="W53" s="458"/>
      <c r="X53" s="458"/>
      <c r="Y53" s="458"/>
      <c r="Z53" s="458"/>
      <c r="AA53" s="458"/>
      <c r="AB53" s="458"/>
      <c r="AC53" s="461"/>
      <c r="AD53" s="457"/>
      <c r="AE53" s="458"/>
      <c r="AF53" s="458"/>
      <c r="AG53" s="458"/>
      <c r="AH53" s="458"/>
      <c r="AI53" s="458"/>
      <c r="AJ53" s="458"/>
      <c r="AK53" s="458"/>
      <c r="AL53" s="458"/>
      <c r="AM53" s="461"/>
      <c r="AN53" s="491"/>
      <c r="AO53" s="450"/>
      <c r="AP53" s="450"/>
      <c r="AQ53" s="450"/>
      <c r="AR53" s="450"/>
      <c r="AS53" s="450"/>
      <c r="AT53" s="450"/>
      <c r="AU53" s="450"/>
      <c r="AV53" s="450"/>
      <c r="AW53" s="490"/>
      <c r="AX53" s="482"/>
      <c r="AY53" s="480"/>
      <c r="AZ53" s="480"/>
      <c r="BA53" s="480"/>
      <c r="BB53" s="480"/>
      <c r="BC53" s="480"/>
      <c r="BD53" s="480"/>
      <c r="BE53" s="480"/>
      <c r="BF53" s="480"/>
      <c r="BG53" s="481"/>
      <c r="BH53" s="56"/>
      <c r="BI53" s="516"/>
      <c r="BJ53" s="517"/>
      <c r="BK53" s="517"/>
      <c r="BL53" s="517"/>
      <c r="BM53" s="517"/>
      <c r="BN53" s="518"/>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row>
    <row r="54" spans="1:100" ht="15" customHeight="1" x14ac:dyDescent="0.35">
      <c r="A54" s="56"/>
      <c r="B54" s="307"/>
      <c r="C54" s="307"/>
      <c r="D54" s="308"/>
      <c r="E54" s="468"/>
      <c r="F54" s="469"/>
      <c r="G54" s="469"/>
      <c r="H54" s="469"/>
      <c r="I54" s="474"/>
      <c r="J54" s="457" t="str">
        <f>IF(AND('Mapa final'!$K$61="Media",'Mapa final'!$O$61="Leve"),CONCATENATE("R",'Mapa final'!$A$61),"")</f>
        <v/>
      </c>
      <c r="K54" s="458"/>
      <c r="L54" s="458" t="str">
        <f>IF(AND('Mapa final'!$K$64="Media",'Mapa final'!$O$64="Leve"),CONCATENATE("R",'Mapa final'!$A$64),"")</f>
        <v/>
      </c>
      <c r="M54" s="458"/>
      <c r="N54" s="458" t="str">
        <f>IF(AND('Mapa final'!$K$70="Media",'Mapa final'!$O$70="Leve"),CONCATENATE("R",'Mapa final'!$A$70),"")</f>
        <v/>
      </c>
      <c r="O54" s="458"/>
      <c r="P54" s="458" t="str">
        <f>IF(AND('Mapa final'!$K$73="Media",'Mapa final'!$O$73="Leve"),CONCATENATE("R",'Mapa final'!$A$73),"")</f>
        <v/>
      </c>
      <c r="Q54" s="458"/>
      <c r="R54" s="458" t="str">
        <f>IF(AND('Mapa final'!$K$76="Media",'Mapa final'!$O$76="Leve"),CONCATENATE("R",'Mapa final'!$A$76),"")</f>
        <v/>
      </c>
      <c r="S54" s="461"/>
      <c r="T54" s="457" t="str">
        <f>IF(AND('Mapa final'!$K$61="Media",'Mapa final'!$O$61="Menor"),CONCATENATE("R",'Mapa final'!$A$61),"")</f>
        <v/>
      </c>
      <c r="U54" s="458"/>
      <c r="V54" s="458" t="str">
        <f>IF(AND('Mapa final'!$K$64="Media",'Mapa final'!$O$64="Menor"),CONCATENATE("R",'Mapa final'!$A$64),"")</f>
        <v/>
      </c>
      <c r="W54" s="458"/>
      <c r="X54" s="458" t="str">
        <f>IF(AND('Mapa final'!$K$70="Media",'Mapa final'!$O$70="Menor"),CONCATENATE("R",'Mapa final'!$A$70),"")</f>
        <v/>
      </c>
      <c r="Y54" s="458"/>
      <c r="Z54" s="458" t="str">
        <f>IF(AND('Mapa final'!$K$73="Media",'Mapa final'!$O$73="Menor"),CONCATENATE("R",'Mapa final'!$A$73),"")</f>
        <v/>
      </c>
      <c r="AA54" s="458"/>
      <c r="AB54" s="458" t="str">
        <f>IF(AND('Mapa final'!$K$76="Media",'Mapa final'!$O$76="Menor"),CONCATENATE("R",'Mapa final'!$A$76),"")</f>
        <v/>
      </c>
      <c r="AC54" s="461"/>
      <c r="AD54" s="457" t="str">
        <f>IF(AND('Mapa final'!$K$61="Media",'Mapa final'!$O$61="Moderado"),CONCATENATE("R",'Mapa final'!$A$61),"")</f>
        <v/>
      </c>
      <c r="AE54" s="458"/>
      <c r="AF54" s="458" t="str">
        <f>IF(AND('Mapa final'!$K$64="Media",'Mapa final'!$O$64="Moderado"),CONCATENATE("R",'Mapa final'!$A$64),"")</f>
        <v/>
      </c>
      <c r="AG54" s="458"/>
      <c r="AH54" s="458" t="str">
        <f>IF(AND('Mapa final'!$K$70="Media",'Mapa final'!$O$70="Moderado"),CONCATENATE("R",'Mapa final'!$A$70),"")</f>
        <v/>
      </c>
      <c r="AI54" s="458"/>
      <c r="AJ54" s="458" t="str">
        <f>IF(AND('Mapa final'!$K$73="Media",'Mapa final'!$O$73="Moderado"),CONCATENATE("R",'Mapa final'!$A$73),"")</f>
        <v/>
      </c>
      <c r="AK54" s="458"/>
      <c r="AL54" s="458" t="str">
        <f>IF(AND('Mapa final'!$K$76="Media",'Mapa final'!$O$76="Moderado"),CONCATENATE("R",'Mapa final'!$A$76),"")</f>
        <v/>
      </c>
      <c r="AM54" s="461"/>
      <c r="AN54" s="491" t="str">
        <f>IF(AND('Mapa final'!$K$61="Media",'Mapa final'!$O$61="Mayor"),CONCATENATE("R",'Mapa final'!$A$61),"")</f>
        <v/>
      </c>
      <c r="AO54" s="450"/>
      <c r="AP54" s="450" t="str">
        <f>IF(AND('Mapa final'!$K$64="Media",'Mapa final'!$O$64="Mayor"),CONCATENATE("R",'Mapa final'!$A$64),"")</f>
        <v/>
      </c>
      <c r="AQ54" s="450"/>
      <c r="AR54" s="450" t="str">
        <f>IF(AND('Mapa final'!$K$70="Media",'Mapa final'!$O$70="Mayor"),CONCATENATE("R",'Mapa final'!$A$70),"")</f>
        <v>R23</v>
      </c>
      <c r="AS54" s="450"/>
      <c r="AT54" s="450" t="str">
        <f>IF(AND('Mapa final'!$K$73="Media",'Mapa final'!$O$73="Mayor"),CONCATENATE("R",'Mapa final'!$A$73),"")</f>
        <v/>
      </c>
      <c r="AU54" s="450"/>
      <c r="AV54" s="450" t="str">
        <f>IF(AND('Mapa final'!$K$76="Media",'Mapa final'!$O$76="Mayor"),CONCATENATE("R",'Mapa final'!$A$76),"")</f>
        <v/>
      </c>
      <c r="AW54" s="490"/>
      <c r="AX54" s="482" t="str">
        <f>IF(AND('Mapa final'!$K$61="Media",'Mapa final'!$O$61="Catastrófico"),CONCATENATE("R",'Mapa final'!$A$61),"")</f>
        <v/>
      </c>
      <c r="AY54" s="480"/>
      <c r="AZ54" s="480" t="str">
        <f>IF(AND('Mapa final'!$K$64="Media",'Mapa final'!$O$64="Catastrófico"),CONCATENATE("R",'Mapa final'!$A$64),"")</f>
        <v/>
      </c>
      <c r="BA54" s="480"/>
      <c r="BB54" s="480" t="str">
        <f>IF(AND('Mapa final'!$K$70="Media",'Mapa final'!$O$70="Catastrófico"),CONCATENATE("R",'Mapa final'!$A$70),"")</f>
        <v/>
      </c>
      <c r="BC54" s="480"/>
      <c r="BD54" s="480" t="str">
        <f>IF(AND('Mapa final'!$K$73="Media",'Mapa final'!$O$73="Catastrófico"),CONCATENATE("R",'Mapa final'!$A$73),"")</f>
        <v/>
      </c>
      <c r="BE54" s="480"/>
      <c r="BF54" s="480" t="str">
        <f>IF(AND('Mapa final'!$K$76="Media",'Mapa final'!$O$76="Catastrófico"),CONCATENATE("R",'Mapa final'!$A$76),"")</f>
        <v/>
      </c>
      <c r="BG54" s="481"/>
      <c r="BH54" s="56"/>
      <c r="BI54" s="519" t="s">
        <v>75</v>
      </c>
      <c r="BJ54" s="520"/>
      <c r="BK54" s="520"/>
      <c r="BL54" s="520"/>
      <c r="BM54" s="520"/>
      <c r="BN54" s="521"/>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row>
    <row r="55" spans="1:100" ht="15" customHeight="1" x14ac:dyDescent="0.35">
      <c r="A55" s="56"/>
      <c r="B55" s="307"/>
      <c r="C55" s="307"/>
      <c r="D55" s="308"/>
      <c r="E55" s="468"/>
      <c r="F55" s="469"/>
      <c r="G55" s="469"/>
      <c r="H55" s="469"/>
      <c r="I55" s="474"/>
      <c r="J55" s="457"/>
      <c r="K55" s="458"/>
      <c r="L55" s="458"/>
      <c r="M55" s="458"/>
      <c r="N55" s="458"/>
      <c r="O55" s="458"/>
      <c r="P55" s="458"/>
      <c r="Q55" s="458"/>
      <c r="R55" s="458"/>
      <c r="S55" s="461"/>
      <c r="T55" s="457"/>
      <c r="U55" s="458"/>
      <c r="V55" s="458"/>
      <c r="W55" s="458"/>
      <c r="X55" s="458"/>
      <c r="Y55" s="458"/>
      <c r="Z55" s="458"/>
      <c r="AA55" s="458"/>
      <c r="AB55" s="458"/>
      <c r="AC55" s="461"/>
      <c r="AD55" s="457"/>
      <c r="AE55" s="458"/>
      <c r="AF55" s="458"/>
      <c r="AG55" s="458"/>
      <c r="AH55" s="458"/>
      <c r="AI55" s="458"/>
      <c r="AJ55" s="458"/>
      <c r="AK55" s="458"/>
      <c r="AL55" s="458"/>
      <c r="AM55" s="461"/>
      <c r="AN55" s="491"/>
      <c r="AO55" s="450"/>
      <c r="AP55" s="450"/>
      <c r="AQ55" s="450"/>
      <c r="AR55" s="450"/>
      <c r="AS55" s="450"/>
      <c r="AT55" s="450"/>
      <c r="AU55" s="450"/>
      <c r="AV55" s="450"/>
      <c r="AW55" s="490"/>
      <c r="AX55" s="482"/>
      <c r="AY55" s="480"/>
      <c r="AZ55" s="480"/>
      <c r="BA55" s="480"/>
      <c r="BB55" s="480"/>
      <c r="BC55" s="480"/>
      <c r="BD55" s="480"/>
      <c r="BE55" s="480"/>
      <c r="BF55" s="480"/>
      <c r="BG55" s="481"/>
      <c r="BH55" s="56"/>
      <c r="BI55" s="522"/>
      <c r="BJ55" s="523"/>
      <c r="BK55" s="523"/>
      <c r="BL55" s="523"/>
      <c r="BM55" s="523"/>
      <c r="BN55" s="524"/>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row>
    <row r="56" spans="1:100" ht="15" customHeight="1" x14ac:dyDescent="0.35">
      <c r="A56" s="56"/>
      <c r="B56" s="307"/>
      <c r="C56" s="307"/>
      <c r="D56" s="308"/>
      <c r="E56" s="468"/>
      <c r="F56" s="469"/>
      <c r="G56" s="469"/>
      <c r="H56" s="469"/>
      <c r="I56" s="474"/>
      <c r="J56" s="457" t="str">
        <f>IF(AND('Mapa final'!$K$79="Media",'Mapa final'!$O$79="Leve"),CONCATENATE("R",'Mapa final'!$A$79),"")</f>
        <v/>
      </c>
      <c r="K56" s="458"/>
      <c r="L56" s="458" t="str">
        <f>IF(AND('Mapa final'!$K$82="Media",'Mapa final'!$O$82="Leve"),CONCATENATE("R",'Mapa final'!$A$82),"")</f>
        <v/>
      </c>
      <c r="M56" s="458"/>
      <c r="N56" s="458" t="str">
        <f>IF(AND('Mapa final'!$K$85="Media",'Mapa final'!$O$85="Leve"),CONCATENATE("R",'Mapa final'!$A$85),"")</f>
        <v/>
      </c>
      <c r="O56" s="458"/>
      <c r="P56" s="458" t="str">
        <f>IF(AND('Mapa final'!$K$88="Media",'Mapa final'!$O$88="Leve"),CONCATENATE("R",'Mapa final'!$A$88),"")</f>
        <v/>
      </c>
      <c r="Q56" s="458"/>
      <c r="R56" s="458" t="str">
        <f>IF(AND('Mapa final'!$K$91="Media",'Mapa final'!$O$91="Leve"),CONCATENATE("R",'Mapa final'!$A$91),"")</f>
        <v/>
      </c>
      <c r="S56" s="461"/>
      <c r="T56" s="457" t="str">
        <f>IF(AND('Mapa final'!$K$79="Media",'Mapa final'!$O$79="Menor"),CONCATENATE("R",'Mapa final'!$A$79),"")</f>
        <v/>
      </c>
      <c r="U56" s="458"/>
      <c r="V56" s="458" t="str">
        <f>IF(AND('Mapa final'!$K$82="Media",'Mapa final'!$O$82="Menor"),CONCATENATE("R",'Mapa final'!$A$82),"")</f>
        <v/>
      </c>
      <c r="W56" s="458"/>
      <c r="X56" s="458" t="str">
        <f>IF(AND('Mapa final'!$K$85="Media",'Mapa final'!$O$85="Menor"),CONCATENATE("R",'Mapa final'!$A$85),"")</f>
        <v/>
      </c>
      <c r="Y56" s="458"/>
      <c r="Z56" s="458" t="str">
        <f>IF(AND('Mapa final'!$K$88="Media",'Mapa final'!$O$88="Menor"),CONCATENATE("R",'Mapa final'!$A$88),"")</f>
        <v/>
      </c>
      <c r="AA56" s="458"/>
      <c r="AB56" s="458" t="str">
        <f>IF(AND('Mapa final'!$K$91="Media",'Mapa final'!$O$91="Menor"),CONCATENATE("R",'Mapa final'!$A$91),"")</f>
        <v/>
      </c>
      <c r="AC56" s="461"/>
      <c r="AD56" s="457" t="str">
        <f>IF(AND('Mapa final'!$K$79="Media",'Mapa final'!$O$79="Moderado"),CONCATENATE("R",'Mapa final'!$A$79),"")</f>
        <v/>
      </c>
      <c r="AE56" s="458"/>
      <c r="AF56" s="458" t="str">
        <f>IF(AND('Mapa final'!$K$82="Media",'Mapa final'!$O$82="Moderado"),CONCATENATE("R",'Mapa final'!$A$82),"")</f>
        <v/>
      </c>
      <c r="AG56" s="458"/>
      <c r="AH56" s="458" t="str">
        <f>IF(AND('Mapa final'!$K$85="Media",'Mapa final'!$O$85="Moderado"),CONCATENATE("R",'Mapa final'!$A$85),"")</f>
        <v/>
      </c>
      <c r="AI56" s="458"/>
      <c r="AJ56" s="458" t="str">
        <f>IF(AND('Mapa final'!$K$88="Media",'Mapa final'!$O$88="Moderado"),CONCATENATE("R",'Mapa final'!$A$88),"")</f>
        <v/>
      </c>
      <c r="AK56" s="458"/>
      <c r="AL56" s="458" t="str">
        <f>IF(AND('Mapa final'!$K$91="Media",'Mapa final'!$O$91="Moderado"),CONCATENATE("R",'Mapa final'!$A$91),"")</f>
        <v/>
      </c>
      <c r="AM56" s="461"/>
      <c r="AN56" s="491" t="str">
        <f>IF(AND('Mapa final'!$K$79="Media",'Mapa final'!$O$79="Mayor"),CONCATENATE("R",'Mapa final'!$A$79),"")</f>
        <v/>
      </c>
      <c r="AO56" s="450"/>
      <c r="AP56" s="450" t="str">
        <f>IF(AND('Mapa final'!$K$82="Media",'Mapa final'!$O$82="Mayor"),CONCATENATE("R",'Mapa final'!$A$82),"")</f>
        <v/>
      </c>
      <c r="AQ56" s="450"/>
      <c r="AR56" s="450" t="str">
        <f>IF(AND('Mapa final'!$K$85="Media",'Mapa final'!$O$85="Mayor"),CONCATENATE("R",'Mapa final'!$A$85),"")</f>
        <v>R28</v>
      </c>
      <c r="AS56" s="450"/>
      <c r="AT56" s="450" t="str">
        <f>IF(AND('Mapa final'!$K$88="Media",'Mapa final'!$O$88="Mayor"),CONCATENATE("R",'Mapa final'!$A$88),"")</f>
        <v>R29</v>
      </c>
      <c r="AU56" s="450"/>
      <c r="AV56" s="450" t="str">
        <f>IF(AND('Mapa final'!$K$91="Media",'Mapa final'!$O$91="Mayor"),CONCATENATE("R",'Mapa final'!$A$91),"")</f>
        <v/>
      </c>
      <c r="AW56" s="490"/>
      <c r="AX56" s="482" t="str">
        <f>IF(AND('Mapa final'!$K$79="Media",'Mapa final'!$O$79="Catastrófico"),CONCATENATE("R",'Mapa final'!$A$79),"")</f>
        <v/>
      </c>
      <c r="AY56" s="480"/>
      <c r="AZ56" s="480" t="str">
        <f>IF(AND('Mapa final'!$K$82="Media",'Mapa final'!$O$82="Catastrófico"),CONCATENATE("R",'Mapa final'!$A$82),"")</f>
        <v/>
      </c>
      <c r="BA56" s="480"/>
      <c r="BB56" s="480" t="str">
        <f>IF(AND('Mapa final'!$K$85="Media",'Mapa final'!$O$85="Catastrófico"),CONCATENATE("R",'Mapa final'!$A$85),"")</f>
        <v/>
      </c>
      <c r="BC56" s="480"/>
      <c r="BD56" s="480" t="str">
        <f>IF(AND('Mapa final'!$K$88="Media",'Mapa final'!$O$88="Catastrófico"),CONCATENATE("R",'Mapa final'!$A$88),"")</f>
        <v/>
      </c>
      <c r="BE56" s="480"/>
      <c r="BF56" s="480" t="str">
        <f>IF(AND('Mapa final'!$K$91="Media",'Mapa final'!$O$91="Catastrófico"),CONCATENATE("R",'Mapa final'!$A$91),"")</f>
        <v/>
      </c>
      <c r="BG56" s="481"/>
      <c r="BH56" s="56"/>
      <c r="BI56" s="522"/>
      <c r="BJ56" s="523"/>
      <c r="BK56" s="523"/>
      <c r="BL56" s="523"/>
      <c r="BM56" s="523"/>
      <c r="BN56" s="524"/>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row>
    <row r="57" spans="1:100" ht="15" customHeight="1" x14ac:dyDescent="0.35">
      <c r="A57" s="56"/>
      <c r="B57" s="307"/>
      <c r="C57" s="307"/>
      <c r="D57" s="308"/>
      <c r="E57" s="468"/>
      <c r="F57" s="469"/>
      <c r="G57" s="469"/>
      <c r="H57" s="469"/>
      <c r="I57" s="474"/>
      <c r="J57" s="457"/>
      <c r="K57" s="458"/>
      <c r="L57" s="458"/>
      <c r="M57" s="458"/>
      <c r="N57" s="458"/>
      <c r="O57" s="458"/>
      <c r="P57" s="458"/>
      <c r="Q57" s="458"/>
      <c r="R57" s="458"/>
      <c r="S57" s="461"/>
      <c r="T57" s="457"/>
      <c r="U57" s="458"/>
      <c r="V57" s="458"/>
      <c r="W57" s="458"/>
      <c r="X57" s="458"/>
      <c r="Y57" s="458"/>
      <c r="Z57" s="458"/>
      <c r="AA57" s="458"/>
      <c r="AB57" s="458"/>
      <c r="AC57" s="461"/>
      <c r="AD57" s="457"/>
      <c r="AE57" s="458"/>
      <c r="AF57" s="458"/>
      <c r="AG57" s="458"/>
      <c r="AH57" s="458"/>
      <c r="AI57" s="458"/>
      <c r="AJ57" s="458"/>
      <c r="AK57" s="458"/>
      <c r="AL57" s="458"/>
      <c r="AM57" s="461"/>
      <c r="AN57" s="491"/>
      <c r="AO57" s="450"/>
      <c r="AP57" s="450"/>
      <c r="AQ57" s="450"/>
      <c r="AR57" s="450"/>
      <c r="AS57" s="450"/>
      <c r="AT57" s="450"/>
      <c r="AU57" s="450"/>
      <c r="AV57" s="450"/>
      <c r="AW57" s="490"/>
      <c r="AX57" s="482"/>
      <c r="AY57" s="480"/>
      <c r="AZ57" s="480"/>
      <c r="BA57" s="480"/>
      <c r="BB57" s="480"/>
      <c r="BC57" s="480"/>
      <c r="BD57" s="480"/>
      <c r="BE57" s="480"/>
      <c r="BF57" s="480"/>
      <c r="BG57" s="481"/>
      <c r="BH57" s="56"/>
      <c r="BI57" s="522"/>
      <c r="BJ57" s="523"/>
      <c r="BK57" s="523"/>
      <c r="BL57" s="523"/>
      <c r="BM57" s="523"/>
      <c r="BN57" s="524"/>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row>
    <row r="58" spans="1:100" ht="15" customHeight="1" x14ac:dyDescent="0.35">
      <c r="A58" s="56"/>
      <c r="B58" s="307"/>
      <c r="C58" s="307"/>
      <c r="D58" s="308"/>
      <c r="E58" s="468"/>
      <c r="F58" s="469"/>
      <c r="G58" s="469"/>
      <c r="H58" s="469"/>
      <c r="I58" s="474"/>
      <c r="J58" s="457" t="str">
        <f>IF(AND('Mapa final'!$K$94="Media",'Mapa final'!$O$94="Leve"),CONCATENATE("R",'Mapa final'!$A$94),"")</f>
        <v/>
      </c>
      <c r="K58" s="458"/>
      <c r="L58" s="458" t="e">
        <f>IF(AND('Mapa final'!#REF!="Media",'Mapa final'!#REF!="Leve"),CONCATENATE("R",'Mapa final'!#REF!),"")</f>
        <v>#REF!</v>
      </c>
      <c r="M58" s="458"/>
      <c r="N58" s="458" t="str">
        <f>IF(AND('Mapa final'!$K$97="Media",'Mapa final'!$O$97="Leve"),CONCATENATE("R",'Mapa final'!$A$97),"")</f>
        <v/>
      </c>
      <c r="O58" s="458"/>
      <c r="P58" s="458" t="str">
        <f>IF(AND('Mapa final'!$K$100="Media",'Mapa final'!$O$100="Leve"),CONCATENATE("R",'Mapa final'!$A$100),"")</f>
        <v/>
      </c>
      <c r="Q58" s="458"/>
      <c r="R58" s="458" t="str">
        <f>IF(AND('Mapa final'!$K$103="Media",'Mapa final'!$O$103="Leve"),CONCATENATE("R",'Mapa final'!$A$103),"")</f>
        <v/>
      </c>
      <c r="S58" s="461"/>
      <c r="T58" s="457" t="str">
        <f>IF(AND('Mapa final'!$K$94="Media",'Mapa final'!$O$94="Menor"),CONCATENATE("R",'Mapa final'!$A$94),"")</f>
        <v/>
      </c>
      <c r="U58" s="458"/>
      <c r="V58" s="458" t="e">
        <f>IF(AND('Mapa final'!#REF!="Media",'Mapa final'!#REF!="Menor"),CONCATENATE("R",'Mapa final'!#REF!),"")</f>
        <v>#REF!</v>
      </c>
      <c r="W58" s="458"/>
      <c r="X58" s="458" t="str">
        <f>IF(AND('Mapa final'!$K$97="Media",'Mapa final'!$O$97="Menor"),CONCATENATE("R",'Mapa final'!$A$97),"")</f>
        <v/>
      </c>
      <c r="Y58" s="458"/>
      <c r="Z58" s="458" t="str">
        <f>IF(AND('Mapa final'!$K$100="Media",'Mapa final'!$O$100="Menor"),CONCATENATE("R",'Mapa final'!$A$100),"")</f>
        <v/>
      </c>
      <c r="AA58" s="458"/>
      <c r="AB58" s="458" t="str">
        <f>IF(AND('Mapa final'!$K$103="Media",'Mapa final'!$O$103="Menor"),CONCATENATE("R",'Mapa final'!$A$103),"")</f>
        <v/>
      </c>
      <c r="AC58" s="461"/>
      <c r="AD58" s="457" t="str">
        <f>IF(AND('Mapa final'!$K$94="Media",'Mapa final'!$O$94="Moderado"),CONCATENATE("R",'Mapa final'!$A$94),"")</f>
        <v/>
      </c>
      <c r="AE58" s="458"/>
      <c r="AF58" s="458" t="e">
        <f>IF(AND('Mapa final'!#REF!="Media",'Mapa final'!#REF!="Moderado"),CONCATENATE("R",'Mapa final'!#REF!),"")</f>
        <v>#REF!</v>
      </c>
      <c r="AG58" s="458"/>
      <c r="AH58" s="458" t="str">
        <f>IF(AND('Mapa final'!$K$97="Media",'Mapa final'!$O$97="Moderado"),CONCATENATE("R",'Mapa final'!$A$97),"")</f>
        <v/>
      </c>
      <c r="AI58" s="458"/>
      <c r="AJ58" s="458" t="str">
        <f>IF(AND('Mapa final'!$K$100="Media",'Mapa final'!$O$100="Moderado"),CONCATENATE("R",'Mapa final'!$A$100),"")</f>
        <v>R33</v>
      </c>
      <c r="AK58" s="458"/>
      <c r="AL58" s="458" t="str">
        <f>IF(AND('Mapa final'!$K$103="Media",'Mapa final'!$O$103="Moderado"),CONCATENATE("R",'Mapa final'!$A$103),"")</f>
        <v>R34</v>
      </c>
      <c r="AM58" s="461"/>
      <c r="AN58" s="491" t="str">
        <f>IF(AND('Mapa final'!$K$94="Media",'Mapa final'!$O$94="Mayor"),CONCATENATE("R",'Mapa final'!$A$94),"")</f>
        <v/>
      </c>
      <c r="AO58" s="450"/>
      <c r="AP58" s="450" t="e">
        <f>IF(AND('Mapa final'!#REF!="Media",'Mapa final'!#REF!="Mayor"),CONCATENATE("R",'Mapa final'!#REF!),"")</f>
        <v>#REF!</v>
      </c>
      <c r="AQ58" s="450"/>
      <c r="AR58" s="450" t="str">
        <f>IF(AND('Mapa final'!$K$97="Media",'Mapa final'!$O$97="Mayor"),CONCATENATE("R",'Mapa final'!$A$97),"")</f>
        <v/>
      </c>
      <c r="AS58" s="450"/>
      <c r="AT58" s="450" t="str">
        <f>IF(AND('Mapa final'!$K$100="Media",'Mapa final'!$O$100="Mayor"),CONCATENATE("R",'Mapa final'!$A$100),"")</f>
        <v/>
      </c>
      <c r="AU58" s="450"/>
      <c r="AV58" s="450" t="str">
        <f>IF(AND('Mapa final'!$K$103="Media",'Mapa final'!$O$103="Mayor"),CONCATENATE("R",'Mapa final'!$A$103),"")</f>
        <v/>
      </c>
      <c r="AW58" s="490"/>
      <c r="AX58" s="482" t="str">
        <f>IF(AND('Mapa final'!$K$94="Media",'Mapa final'!$O$94="Catastrófico"),CONCATENATE("R",'Mapa final'!$A$94),"")</f>
        <v/>
      </c>
      <c r="AY58" s="480"/>
      <c r="AZ58" s="480" t="e">
        <f>IF(AND('Mapa final'!#REF!="Media",'Mapa final'!#REF!="Catastrófico"),CONCATENATE("R",'Mapa final'!#REF!),"")</f>
        <v>#REF!</v>
      </c>
      <c r="BA58" s="480"/>
      <c r="BB58" s="480" t="str">
        <f>IF(AND('Mapa final'!$K$97="Media",'Mapa final'!$O$97="Catastrófico"),CONCATENATE("R",'Mapa final'!$A$97),"")</f>
        <v/>
      </c>
      <c r="BC58" s="480"/>
      <c r="BD58" s="480" t="str">
        <f>IF(AND('Mapa final'!$K$100="Media",'Mapa final'!$O$100="Catastrófico"),CONCATENATE("R",'Mapa final'!$A$100),"")</f>
        <v/>
      </c>
      <c r="BE58" s="480"/>
      <c r="BF58" s="480" t="str">
        <f>IF(AND('Mapa final'!$K$103="Media",'Mapa final'!$O$103="Catastrófico"),CONCATENATE("R",'Mapa final'!$A$103),"")</f>
        <v/>
      </c>
      <c r="BG58" s="481"/>
      <c r="BH58" s="56"/>
      <c r="BI58" s="522"/>
      <c r="BJ58" s="523"/>
      <c r="BK58" s="523"/>
      <c r="BL58" s="523"/>
      <c r="BM58" s="523"/>
      <c r="BN58" s="524"/>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row>
    <row r="59" spans="1:100" ht="15" customHeight="1" x14ac:dyDescent="0.35">
      <c r="A59" s="56"/>
      <c r="B59" s="307"/>
      <c r="C59" s="307"/>
      <c r="D59" s="308"/>
      <c r="E59" s="468"/>
      <c r="F59" s="469"/>
      <c r="G59" s="469"/>
      <c r="H59" s="469"/>
      <c r="I59" s="474"/>
      <c r="J59" s="457"/>
      <c r="K59" s="458"/>
      <c r="L59" s="458"/>
      <c r="M59" s="458"/>
      <c r="N59" s="458"/>
      <c r="O59" s="458"/>
      <c r="P59" s="458"/>
      <c r="Q59" s="458"/>
      <c r="R59" s="458"/>
      <c r="S59" s="461"/>
      <c r="T59" s="457"/>
      <c r="U59" s="458"/>
      <c r="V59" s="458"/>
      <c r="W59" s="458"/>
      <c r="X59" s="458"/>
      <c r="Y59" s="458"/>
      <c r="Z59" s="458"/>
      <c r="AA59" s="458"/>
      <c r="AB59" s="458"/>
      <c r="AC59" s="461"/>
      <c r="AD59" s="457"/>
      <c r="AE59" s="458"/>
      <c r="AF59" s="458"/>
      <c r="AG59" s="458"/>
      <c r="AH59" s="458"/>
      <c r="AI59" s="458"/>
      <c r="AJ59" s="458"/>
      <c r="AK59" s="458"/>
      <c r="AL59" s="458"/>
      <c r="AM59" s="461"/>
      <c r="AN59" s="491"/>
      <c r="AO59" s="450"/>
      <c r="AP59" s="450"/>
      <c r="AQ59" s="450"/>
      <c r="AR59" s="450"/>
      <c r="AS59" s="450"/>
      <c r="AT59" s="450"/>
      <c r="AU59" s="450"/>
      <c r="AV59" s="450"/>
      <c r="AW59" s="490"/>
      <c r="AX59" s="482"/>
      <c r="AY59" s="480"/>
      <c r="AZ59" s="480"/>
      <c r="BA59" s="480"/>
      <c r="BB59" s="480"/>
      <c r="BC59" s="480"/>
      <c r="BD59" s="480"/>
      <c r="BE59" s="480"/>
      <c r="BF59" s="480"/>
      <c r="BG59" s="481"/>
      <c r="BH59" s="56"/>
      <c r="BI59" s="522"/>
      <c r="BJ59" s="523"/>
      <c r="BK59" s="523"/>
      <c r="BL59" s="523"/>
      <c r="BM59" s="523"/>
      <c r="BN59" s="524"/>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row>
    <row r="60" spans="1:100" ht="15" customHeight="1" x14ac:dyDescent="0.35">
      <c r="A60" s="56"/>
      <c r="B60" s="307"/>
      <c r="C60" s="307"/>
      <c r="D60" s="308"/>
      <c r="E60" s="468"/>
      <c r="F60" s="469"/>
      <c r="G60" s="469"/>
      <c r="H60" s="469"/>
      <c r="I60" s="474"/>
      <c r="J60" s="457" t="str">
        <f>IF(AND('Mapa final'!$K$106="Media",'Mapa final'!$O$106="Leve"),CONCATENATE("R",'Mapa final'!$A$106),"")</f>
        <v/>
      </c>
      <c r="K60" s="458"/>
      <c r="L60" s="458" t="str">
        <f>IF(AND('Mapa final'!$K$109="Media",'Mapa final'!$O$109="Leve"),CONCATENATE("R",'Mapa final'!$A$109),"")</f>
        <v/>
      </c>
      <c r="M60" s="458"/>
      <c r="N60" s="458" t="str">
        <f>IF(AND('Mapa final'!$K$112="Media",'Mapa final'!$O$112="Leve"),CONCATENATE("R",'Mapa final'!$A$112),"")</f>
        <v/>
      </c>
      <c r="O60" s="458"/>
      <c r="P60" s="458" t="str">
        <f>IF(AND('Mapa final'!$K$115="Media",'Mapa final'!$O$115="Leve"),CONCATENATE("R",'Mapa final'!$A$115),"")</f>
        <v/>
      </c>
      <c r="Q60" s="458"/>
      <c r="R60" s="458" t="str">
        <f>IF(AND('Mapa final'!$K$118="Media",'Mapa final'!$O$118="Leve"),CONCATENATE("R",'Mapa final'!$A$118),"")</f>
        <v/>
      </c>
      <c r="S60" s="461"/>
      <c r="T60" s="457" t="str">
        <f>IF(AND('Mapa final'!$K$106="Media",'Mapa final'!$O$106="Menor"),CONCATENATE("R",'Mapa final'!$A$106),"")</f>
        <v/>
      </c>
      <c r="U60" s="458"/>
      <c r="V60" s="458" t="str">
        <f>IF(AND('Mapa final'!$K$109="Media",'Mapa final'!$O$109="Menor"),CONCATENATE("R",'Mapa final'!$A$109),"")</f>
        <v>R36</v>
      </c>
      <c r="W60" s="458"/>
      <c r="X60" s="458" t="str">
        <f>IF(AND('Mapa final'!$K$112="Media",'Mapa final'!$O$112="Menor"),CONCATENATE("R",'Mapa final'!$A$112),"")</f>
        <v/>
      </c>
      <c r="Y60" s="458"/>
      <c r="Z60" s="458" t="str">
        <f>IF(AND('Mapa final'!$K$115="Media",'Mapa final'!$O$115="Menor"),CONCATENATE("R",'Mapa final'!$A$115),"")</f>
        <v/>
      </c>
      <c r="AA60" s="458"/>
      <c r="AB60" s="458" t="str">
        <f>IF(AND('Mapa final'!$K$118="Media",'Mapa final'!$O$118="Menor"),CONCATENATE("R",'Mapa final'!$A$118),"")</f>
        <v/>
      </c>
      <c r="AC60" s="461"/>
      <c r="AD60" s="457" t="str">
        <f>IF(AND('Mapa final'!$K$106="Media",'Mapa final'!$O$106="Moderado"),CONCATENATE("R",'Mapa final'!$A$106),"")</f>
        <v/>
      </c>
      <c r="AE60" s="458"/>
      <c r="AF60" s="458" t="str">
        <f>IF(AND('Mapa final'!$K$109="Media",'Mapa final'!$O$109="Moderado"),CONCATENATE("R",'Mapa final'!$A$109),"")</f>
        <v/>
      </c>
      <c r="AG60" s="458"/>
      <c r="AH60" s="458" t="str">
        <f>IF(AND('Mapa final'!$K$112="Media",'Mapa final'!$O$112="Moderado"),CONCATENATE("R",'Mapa final'!$A$112),"")</f>
        <v/>
      </c>
      <c r="AI60" s="458"/>
      <c r="AJ60" s="458" t="str">
        <f>IF(AND('Mapa final'!$K$115="Media",'Mapa final'!$O$115="Moderado"),CONCATENATE("R",'Mapa final'!$A$115),"")</f>
        <v/>
      </c>
      <c r="AK60" s="458"/>
      <c r="AL60" s="458" t="str">
        <f>IF(AND('Mapa final'!$K$118="Media",'Mapa final'!$O$118="Moderado"),CONCATENATE("R",'Mapa final'!$A$118),"")</f>
        <v>R39</v>
      </c>
      <c r="AM60" s="461"/>
      <c r="AN60" s="491" t="str">
        <f>IF(AND('Mapa final'!$K$106="Media",'Mapa final'!$O$106="Mayor"),CONCATENATE("R",'Mapa final'!$A$106),"")</f>
        <v>R35</v>
      </c>
      <c r="AO60" s="450"/>
      <c r="AP60" s="450" t="str">
        <f>IF(AND('Mapa final'!$K$109="Media",'Mapa final'!$O$109="Mayor"),CONCATENATE("R",'Mapa final'!$A$109),"")</f>
        <v/>
      </c>
      <c r="AQ60" s="450"/>
      <c r="AR60" s="450" t="str">
        <f>IF(AND('Mapa final'!$K$112="Media",'Mapa final'!$O$112="Mayor"),CONCATENATE("R",'Mapa final'!$A$112),"")</f>
        <v/>
      </c>
      <c r="AS60" s="450"/>
      <c r="AT60" s="450" t="str">
        <f>IF(AND('Mapa final'!$K$115="Media",'Mapa final'!$O$115="Mayor"),CONCATENATE("R",'Mapa final'!$A$115),"")</f>
        <v/>
      </c>
      <c r="AU60" s="450"/>
      <c r="AV60" s="450" t="str">
        <f>IF(AND('Mapa final'!$K$118="Media",'Mapa final'!$O$118="Mayor"),CONCATENATE("R",'Mapa final'!$A$118),"")</f>
        <v/>
      </c>
      <c r="AW60" s="490"/>
      <c r="AX60" s="482" t="str">
        <f>IF(AND('Mapa final'!$K$106="Media",'Mapa final'!$O$106="Catastrófico"),CONCATENATE("R",'Mapa final'!$A$106),"")</f>
        <v/>
      </c>
      <c r="AY60" s="480"/>
      <c r="AZ60" s="480" t="str">
        <f>IF(AND('Mapa final'!$K$109="Media",'Mapa final'!$O$109="Catastrófico"),CONCATENATE("R",'Mapa final'!$A$109),"")</f>
        <v/>
      </c>
      <c r="BA60" s="480"/>
      <c r="BB60" s="480" t="str">
        <f>IF(AND('Mapa final'!$K$112="Media",'Mapa final'!$O$112="Catastrófico"),CONCATENATE("R",'Mapa final'!$A$112),"")</f>
        <v/>
      </c>
      <c r="BC60" s="480"/>
      <c r="BD60" s="480" t="str">
        <f>IF(AND('Mapa final'!$K$115="Media",'Mapa final'!$O$115="Catastrófico"),CONCATENATE("R",'Mapa final'!$A$115),"")</f>
        <v/>
      </c>
      <c r="BE60" s="480"/>
      <c r="BF60" s="480" t="str">
        <f>IF(AND('Mapa final'!$K$118="Media",'Mapa final'!$O$118="Catastrófico"),CONCATENATE("R",'Mapa final'!$A$118),"")</f>
        <v/>
      </c>
      <c r="BG60" s="481"/>
      <c r="BH60" s="56"/>
      <c r="BI60" s="522"/>
      <c r="BJ60" s="523"/>
      <c r="BK60" s="523"/>
      <c r="BL60" s="523"/>
      <c r="BM60" s="523"/>
      <c r="BN60" s="524"/>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row>
    <row r="61" spans="1:100" ht="15" customHeight="1" x14ac:dyDescent="0.35">
      <c r="A61" s="56"/>
      <c r="B61" s="307"/>
      <c r="C61" s="307"/>
      <c r="D61" s="308"/>
      <c r="E61" s="468"/>
      <c r="F61" s="469"/>
      <c r="G61" s="469"/>
      <c r="H61" s="469"/>
      <c r="I61" s="474"/>
      <c r="J61" s="457"/>
      <c r="K61" s="458"/>
      <c r="L61" s="458"/>
      <c r="M61" s="458"/>
      <c r="N61" s="458"/>
      <c r="O61" s="458"/>
      <c r="P61" s="458"/>
      <c r="Q61" s="458"/>
      <c r="R61" s="458"/>
      <c r="S61" s="461"/>
      <c r="T61" s="457"/>
      <c r="U61" s="458"/>
      <c r="V61" s="458"/>
      <c r="W61" s="458"/>
      <c r="X61" s="458"/>
      <c r="Y61" s="458"/>
      <c r="Z61" s="458"/>
      <c r="AA61" s="458"/>
      <c r="AB61" s="458"/>
      <c r="AC61" s="461"/>
      <c r="AD61" s="457"/>
      <c r="AE61" s="458"/>
      <c r="AF61" s="458"/>
      <c r="AG61" s="458"/>
      <c r="AH61" s="458"/>
      <c r="AI61" s="458"/>
      <c r="AJ61" s="458"/>
      <c r="AK61" s="458"/>
      <c r="AL61" s="458"/>
      <c r="AM61" s="461"/>
      <c r="AN61" s="491"/>
      <c r="AO61" s="450"/>
      <c r="AP61" s="450"/>
      <c r="AQ61" s="450"/>
      <c r="AR61" s="450"/>
      <c r="AS61" s="450"/>
      <c r="AT61" s="450"/>
      <c r="AU61" s="450"/>
      <c r="AV61" s="450"/>
      <c r="AW61" s="490"/>
      <c r="AX61" s="482"/>
      <c r="AY61" s="480"/>
      <c r="AZ61" s="480"/>
      <c r="BA61" s="480"/>
      <c r="BB61" s="480"/>
      <c r="BC61" s="480"/>
      <c r="BD61" s="480"/>
      <c r="BE61" s="480"/>
      <c r="BF61" s="480"/>
      <c r="BG61" s="481"/>
      <c r="BH61" s="56"/>
      <c r="BI61" s="522"/>
      <c r="BJ61" s="523"/>
      <c r="BK61" s="523"/>
      <c r="BL61" s="523"/>
      <c r="BM61" s="523"/>
      <c r="BN61" s="524"/>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row>
    <row r="62" spans="1:100" ht="15" customHeight="1" x14ac:dyDescent="0.35">
      <c r="A62" s="56"/>
      <c r="B62" s="307"/>
      <c r="C62" s="307"/>
      <c r="D62" s="308"/>
      <c r="E62" s="468"/>
      <c r="F62" s="469"/>
      <c r="G62" s="469"/>
      <c r="H62" s="469"/>
      <c r="I62" s="474"/>
      <c r="J62" s="457" t="str">
        <f>IF(AND('Mapa final'!$K$121="Media",'Mapa final'!$O$121="Leve"),CONCATENATE("R",'Mapa final'!$A$121),"")</f>
        <v/>
      </c>
      <c r="K62" s="458"/>
      <c r="L62" s="458" t="str">
        <f>IF(AND('Mapa final'!$K$124="Media",'Mapa final'!$O$124="Leve"),CONCATENATE("R",'Mapa final'!$A$124),"")</f>
        <v/>
      </c>
      <c r="M62" s="458"/>
      <c r="N62" s="458" t="str">
        <f>IF(AND('Mapa final'!$K$127="Media",'Mapa final'!$O$127="Leve"),CONCATENATE("R",'Mapa final'!$A$127),"")</f>
        <v/>
      </c>
      <c r="O62" s="458"/>
      <c r="P62" s="458" t="str">
        <f>IF(AND('Mapa final'!$K$130="Media",'Mapa final'!$O$130="Leve"),CONCATENATE("R",'Mapa final'!$A$130),"")</f>
        <v/>
      </c>
      <c r="Q62" s="458"/>
      <c r="R62" s="458" t="str">
        <f>IF(AND('Mapa final'!$K$133="Media",'Mapa final'!$O$133="Leve"),CONCATENATE("R",'Mapa final'!$A$133),"")</f>
        <v/>
      </c>
      <c r="S62" s="461"/>
      <c r="T62" s="457" t="str">
        <f>IF(AND('Mapa final'!$K$121="Media",'Mapa final'!$O$121="Menor"),CONCATENATE("R",'Mapa final'!$A$121),"")</f>
        <v/>
      </c>
      <c r="U62" s="458"/>
      <c r="V62" s="458" t="str">
        <f>IF(AND('Mapa final'!$K$124="Media",'Mapa final'!$O$124="Menor"),CONCATENATE("R",'Mapa final'!$A$124),"")</f>
        <v/>
      </c>
      <c r="W62" s="458"/>
      <c r="X62" s="458" t="str">
        <f>IF(AND('Mapa final'!$K$127="Media",'Mapa final'!$O$127="Menor"),CONCATENATE("R",'Mapa final'!$A$127),"")</f>
        <v/>
      </c>
      <c r="Y62" s="458"/>
      <c r="Z62" s="458" t="str">
        <f>IF(AND('Mapa final'!$K$130="Media",'Mapa final'!$O$130="Menor"),CONCATENATE("R",'Mapa final'!$A$130),"")</f>
        <v/>
      </c>
      <c r="AA62" s="458"/>
      <c r="AB62" s="458" t="str">
        <f>IF(AND('Mapa final'!$K$133="Media",'Mapa final'!$O$133="Menor"),CONCATENATE("R",'Mapa final'!$A$133),"")</f>
        <v/>
      </c>
      <c r="AC62" s="461"/>
      <c r="AD62" s="457" t="str">
        <f>IF(AND('Mapa final'!$K$121="Media",'Mapa final'!$O$121="Moderado"),CONCATENATE("R",'Mapa final'!$A$121),"")</f>
        <v>R40</v>
      </c>
      <c r="AE62" s="458"/>
      <c r="AF62" s="458" t="str">
        <f>IF(AND('Mapa final'!$K$124="Media",'Mapa final'!$O$124="Moderado"),CONCATENATE("R",'Mapa final'!$A$124),"")</f>
        <v/>
      </c>
      <c r="AG62" s="458"/>
      <c r="AH62" s="458" t="str">
        <f>IF(AND('Mapa final'!$K$127="Media",'Mapa final'!$O$127="Moderado"),CONCATENATE("R",'Mapa final'!$A$127),"")</f>
        <v/>
      </c>
      <c r="AI62" s="458"/>
      <c r="AJ62" s="458" t="str">
        <f>IF(AND('Mapa final'!$K$130="Media",'Mapa final'!$O$130="Moderado"),CONCATENATE("R",'Mapa final'!$A$130),"")</f>
        <v>R43</v>
      </c>
      <c r="AK62" s="458"/>
      <c r="AL62" s="458" t="str">
        <f>IF(AND('Mapa final'!$K$133="Media",'Mapa final'!$O$133="Moderado"),CONCATENATE("R",'Mapa final'!$A$133),"")</f>
        <v/>
      </c>
      <c r="AM62" s="461"/>
      <c r="AN62" s="491" t="str">
        <f>IF(AND('Mapa final'!$K$121="Media",'Mapa final'!$O$121="Mayor"),CONCATENATE("R",'Mapa final'!$A$121),"")</f>
        <v/>
      </c>
      <c r="AO62" s="450"/>
      <c r="AP62" s="450" t="str">
        <f>IF(AND('Mapa final'!$K$124="Media",'Mapa final'!$O$124="Mayor"),CONCATENATE("R",'Mapa final'!$A$124),"")</f>
        <v/>
      </c>
      <c r="AQ62" s="450"/>
      <c r="AR62" s="450" t="str">
        <f>IF(AND('Mapa final'!$K$127="Media",'Mapa final'!$O$127="Mayor"),CONCATENATE("R",'Mapa final'!$A$127),"")</f>
        <v>R42</v>
      </c>
      <c r="AS62" s="450"/>
      <c r="AT62" s="450" t="str">
        <f>IF(AND('Mapa final'!$K$130="Media",'Mapa final'!$O$130="Mayor"),CONCATENATE("R",'Mapa final'!$A$130),"")</f>
        <v/>
      </c>
      <c r="AU62" s="450"/>
      <c r="AV62" s="450" t="str">
        <f>IF(AND('Mapa final'!$K$133="Media",'Mapa final'!$O$133="Mayor"),CONCATENATE("R",'Mapa final'!$A$133),"")</f>
        <v>R44</v>
      </c>
      <c r="AW62" s="490"/>
      <c r="AX62" s="482" t="str">
        <f>IF(AND('Mapa final'!$K$121="Media",'Mapa final'!$O$121="Catastrófico"),CONCATENATE("R",'Mapa final'!$A$121),"")</f>
        <v/>
      </c>
      <c r="AY62" s="480"/>
      <c r="AZ62" s="480" t="str">
        <f>IF(AND('Mapa final'!$K$124="Media",'Mapa final'!$O$124="Catastrófico"),CONCATENATE("R",'Mapa final'!$A$124),"")</f>
        <v/>
      </c>
      <c r="BA62" s="480"/>
      <c r="BB62" s="480" t="str">
        <f>IF(AND('Mapa final'!$K$127="Media",'Mapa final'!$O$127="Catastrófico"),CONCATENATE("R",'Mapa final'!$A$127),"")</f>
        <v/>
      </c>
      <c r="BC62" s="480"/>
      <c r="BD62" s="480" t="str">
        <f>IF(AND('Mapa final'!$K$130="Media",'Mapa final'!$O$130="Catastrófico"),CONCATENATE("R",'Mapa final'!$A$130),"")</f>
        <v/>
      </c>
      <c r="BE62" s="480"/>
      <c r="BF62" s="480" t="str">
        <f>IF(AND('Mapa final'!$K$133="Media",'Mapa final'!$O$133="Catastrófico"),CONCATENATE("R",'Mapa final'!$A$133),"")</f>
        <v/>
      </c>
      <c r="BG62" s="481"/>
      <c r="BH62" s="56"/>
      <c r="BI62" s="522"/>
      <c r="BJ62" s="523"/>
      <c r="BK62" s="523"/>
      <c r="BL62" s="523"/>
      <c r="BM62" s="523"/>
      <c r="BN62" s="524"/>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row>
    <row r="63" spans="1:100" ht="15" customHeight="1" x14ac:dyDescent="0.35">
      <c r="A63" s="56"/>
      <c r="B63" s="307"/>
      <c r="C63" s="307"/>
      <c r="D63" s="308"/>
      <c r="E63" s="468"/>
      <c r="F63" s="469"/>
      <c r="G63" s="469"/>
      <c r="H63" s="469"/>
      <c r="I63" s="474"/>
      <c r="J63" s="457"/>
      <c r="K63" s="458"/>
      <c r="L63" s="458"/>
      <c r="M63" s="458"/>
      <c r="N63" s="458"/>
      <c r="O63" s="458"/>
      <c r="P63" s="458"/>
      <c r="Q63" s="458"/>
      <c r="R63" s="458"/>
      <c r="S63" s="461"/>
      <c r="T63" s="457"/>
      <c r="U63" s="458"/>
      <c r="V63" s="458"/>
      <c r="W63" s="458"/>
      <c r="X63" s="458"/>
      <c r="Y63" s="458"/>
      <c r="Z63" s="458"/>
      <c r="AA63" s="458"/>
      <c r="AB63" s="458"/>
      <c r="AC63" s="461"/>
      <c r="AD63" s="457"/>
      <c r="AE63" s="458"/>
      <c r="AF63" s="458"/>
      <c r="AG63" s="458"/>
      <c r="AH63" s="458"/>
      <c r="AI63" s="458"/>
      <c r="AJ63" s="458"/>
      <c r="AK63" s="458"/>
      <c r="AL63" s="458"/>
      <c r="AM63" s="461"/>
      <c r="AN63" s="491"/>
      <c r="AO63" s="450"/>
      <c r="AP63" s="450"/>
      <c r="AQ63" s="450"/>
      <c r="AR63" s="450"/>
      <c r="AS63" s="450"/>
      <c r="AT63" s="450"/>
      <c r="AU63" s="450"/>
      <c r="AV63" s="450"/>
      <c r="AW63" s="490"/>
      <c r="AX63" s="482"/>
      <c r="AY63" s="480"/>
      <c r="AZ63" s="480"/>
      <c r="BA63" s="480"/>
      <c r="BB63" s="480"/>
      <c r="BC63" s="480"/>
      <c r="BD63" s="480"/>
      <c r="BE63" s="480"/>
      <c r="BF63" s="480"/>
      <c r="BG63" s="481"/>
      <c r="BH63" s="56"/>
      <c r="BI63" s="522"/>
      <c r="BJ63" s="523"/>
      <c r="BK63" s="523"/>
      <c r="BL63" s="523"/>
      <c r="BM63" s="523"/>
      <c r="BN63" s="524"/>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row>
    <row r="64" spans="1:100" ht="15" customHeight="1" x14ac:dyDescent="0.35">
      <c r="A64" s="56"/>
      <c r="B64" s="307"/>
      <c r="C64" s="307"/>
      <c r="D64" s="308"/>
      <c r="E64" s="468"/>
      <c r="F64" s="469"/>
      <c r="G64" s="469"/>
      <c r="H64" s="469"/>
      <c r="I64" s="474"/>
      <c r="J64" s="457" t="str">
        <f>IF(AND('Mapa final'!$K$136="Media",'Mapa final'!$O$136="Leve"),CONCATENATE("R",'Mapa final'!$A$136),"")</f>
        <v/>
      </c>
      <c r="K64" s="458"/>
      <c r="L64" s="458" t="str">
        <f>IF(AND('Mapa final'!$K$139="Media",'Mapa final'!$O$139="Leve"),CONCATENATE("R",'Mapa final'!$A$139),"")</f>
        <v/>
      </c>
      <c r="M64" s="458"/>
      <c r="N64" s="458" t="str">
        <f>IF(AND('Mapa final'!$K$142="Media",'Mapa final'!$O$142="Leve"),CONCATENATE("R",'Mapa final'!$A$142),"")</f>
        <v/>
      </c>
      <c r="O64" s="458"/>
      <c r="P64" s="458" t="str">
        <f>IF(AND('Mapa final'!$K$145="Media",'Mapa final'!$O$145="Leve"),CONCATENATE("R",'Mapa final'!$A$145),"")</f>
        <v/>
      </c>
      <c r="Q64" s="458"/>
      <c r="R64" s="458" t="str">
        <f>IF(AND('Mapa final'!$K$148="Media",'Mapa final'!$O$148="Leve"),CONCATENATE("R",'Mapa final'!$A$148),"")</f>
        <v/>
      </c>
      <c r="S64" s="461"/>
      <c r="T64" s="457" t="str">
        <f>IF(AND('Mapa final'!$K$136="Media",'Mapa final'!$O$136="Menor"),CONCATENATE("R",'Mapa final'!$A$136),"")</f>
        <v/>
      </c>
      <c r="U64" s="458"/>
      <c r="V64" s="458" t="str">
        <f>IF(AND('Mapa final'!$K$139="Media",'Mapa final'!$O$139="Menor"),CONCATENATE("R",'Mapa final'!$A$139),"")</f>
        <v/>
      </c>
      <c r="W64" s="458"/>
      <c r="X64" s="458" t="str">
        <f>IF(AND('Mapa final'!$K$142="Media",'Mapa final'!$O$142="Menor"),CONCATENATE("R",'Mapa final'!$A$142),"")</f>
        <v/>
      </c>
      <c r="Y64" s="458"/>
      <c r="Z64" s="458" t="str">
        <f>IF(AND('Mapa final'!$K$145="Media",'Mapa final'!$O$145="Menor"),CONCATENATE("R",'Mapa final'!$A$145),"")</f>
        <v/>
      </c>
      <c r="AA64" s="458"/>
      <c r="AB64" s="458" t="str">
        <f>IF(AND('Mapa final'!$K$148="Media",'Mapa final'!$O$148="Menor"),CONCATENATE("R",'Mapa final'!$A$148),"")</f>
        <v/>
      </c>
      <c r="AC64" s="461"/>
      <c r="AD64" s="457" t="str">
        <f>IF(AND('Mapa final'!$K$136="Media",'Mapa final'!$O$136="Moderado"),CONCATENATE("R",'Mapa final'!$A$136),"")</f>
        <v/>
      </c>
      <c r="AE64" s="458"/>
      <c r="AF64" s="458" t="str">
        <f>IF(AND('Mapa final'!$K$139="Media",'Mapa final'!$O$139="Moderado"),CONCATENATE("R",'Mapa final'!$A$139),"")</f>
        <v/>
      </c>
      <c r="AG64" s="458"/>
      <c r="AH64" s="458" t="str">
        <f>IF(AND('Mapa final'!$K$142="Media",'Mapa final'!$O$142="Moderado"),CONCATENATE("R",'Mapa final'!$A$142),"")</f>
        <v/>
      </c>
      <c r="AI64" s="458"/>
      <c r="AJ64" s="458" t="str">
        <f>IF(AND('Mapa final'!$K$145="Media",'Mapa final'!$O$145="Moderado"),CONCATENATE("R",'Mapa final'!$A$145),"")</f>
        <v/>
      </c>
      <c r="AK64" s="458"/>
      <c r="AL64" s="458" t="str">
        <f>IF(AND('Mapa final'!$K$148="Media",'Mapa final'!$O$148="Moderado"),CONCATENATE("R",'Mapa final'!$A$148),"")</f>
        <v/>
      </c>
      <c r="AM64" s="461"/>
      <c r="AN64" s="491" t="str">
        <f>IF(AND('Mapa final'!$K$136="Media",'Mapa final'!$O$136="Mayor"),CONCATENATE("R",'Mapa final'!$A$136),"")</f>
        <v/>
      </c>
      <c r="AO64" s="450"/>
      <c r="AP64" s="450" t="str">
        <f>IF(AND('Mapa final'!$K$139="Media",'Mapa final'!$O$139="Mayor"),CONCATENATE("R",'Mapa final'!$A$139),"")</f>
        <v/>
      </c>
      <c r="AQ64" s="450"/>
      <c r="AR64" s="450" t="str">
        <f>IF(AND('Mapa final'!$K$142="Media",'Mapa final'!$O$142="Mayor"),CONCATENATE("R",'Mapa final'!$A$142),"")</f>
        <v/>
      </c>
      <c r="AS64" s="450"/>
      <c r="AT64" s="450" t="str">
        <f>IF(AND('Mapa final'!$K$145="Media",'Mapa final'!$O$145="Mayor"),CONCATENATE("R",'Mapa final'!$A$145),"")</f>
        <v/>
      </c>
      <c r="AU64" s="450"/>
      <c r="AV64" s="450" t="str">
        <f>IF(AND('Mapa final'!$K$148="Media",'Mapa final'!$O$148="Mayor"),CONCATENATE("R",'Mapa final'!$A$148),"")</f>
        <v/>
      </c>
      <c r="AW64" s="490"/>
      <c r="AX64" s="482" t="str">
        <f>IF(AND('Mapa final'!$K$136="Media",'Mapa final'!$O$136="Catastrófico"),CONCATENATE("R",'Mapa final'!$A$136),"")</f>
        <v/>
      </c>
      <c r="AY64" s="480"/>
      <c r="AZ64" s="480" t="str">
        <f>IF(AND('Mapa final'!$K$139="Media",'Mapa final'!$O$139="Catastrófico"),CONCATENATE("R",'Mapa final'!$A$139),"")</f>
        <v/>
      </c>
      <c r="BA64" s="480"/>
      <c r="BB64" s="480" t="str">
        <f>IF(AND('Mapa final'!$K$142="Media",'Mapa final'!$O$142="Catastrófico"),CONCATENATE("R",'Mapa final'!$A$142),"")</f>
        <v/>
      </c>
      <c r="BC64" s="480"/>
      <c r="BD64" s="480" t="str">
        <f>IF(AND('Mapa final'!$K$145="Media",'Mapa final'!$O$145="Catastrófico"),CONCATENATE("R",'Mapa final'!$A$145),"")</f>
        <v/>
      </c>
      <c r="BE64" s="480"/>
      <c r="BF64" s="480" t="str">
        <f>IF(AND('Mapa final'!$K$148="Media",'Mapa final'!$O$148="Catastrófico"),CONCATENATE("R",'Mapa final'!$A$148),"")</f>
        <v/>
      </c>
      <c r="BG64" s="481"/>
      <c r="BH64" s="56"/>
      <c r="BI64" s="522"/>
      <c r="BJ64" s="523"/>
      <c r="BK64" s="523"/>
      <c r="BL64" s="523"/>
      <c r="BM64" s="523"/>
      <c r="BN64" s="524"/>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row>
    <row r="65" spans="1:100" ht="15.75" customHeight="1" thickBot="1" x14ac:dyDescent="0.4">
      <c r="A65" s="56"/>
      <c r="B65" s="307"/>
      <c r="C65" s="307"/>
      <c r="D65" s="308"/>
      <c r="E65" s="471"/>
      <c r="F65" s="472"/>
      <c r="G65" s="472"/>
      <c r="H65" s="472"/>
      <c r="I65" s="472"/>
      <c r="J65" s="459"/>
      <c r="K65" s="460"/>
      <c r="L65" s="460"/>
      <c r="M65" s="460"/>
      <c r="N65" s="460"/>
      <c r="O65" s="460"/>
      <c r="P65" s="460"/>
      <c r="Q65" s="460"/>
      <c r="R65" s="460"/>
      <c r="S65" s="462"/>
      <c r="T65" s="459"/>
      <c r="U65" s="460"/>
      <c r="V65" s="460"/>
      <c r="W65" s="460"/>
      <c r="X65" s="460"/>
      <c r="Y65" s="460"/>
      <c r="Z65" s="460"/>
      <c r="AA65" s="460"/>
      <c r="AB65" s="460"/>
      <c r="AC65" s="462"/>
      <c r="AD65" s="459"/>
      <c r="AE65" s="460"/>
      <c r="AF65" s="460"/>
      <c r="AG65" s="460"/>
      <c r="AH65" s="460"/>
      <c r="AI65" s="460"/>
      <c r="AJ65" s="460"/>
      <c r="AK65" s="460"/>
      <c r="AL65" s="460"/>
      <c r="AM65" s="462"/>
      <c r="AN65" s="492"/>
      <c r="AO65" s="489"/>
      <c r="AP65" s="489"/>
      <c r="AQ65" s="489"/>
      <c r="AR65" s="489"/>
      <c r="AS65" s="489"/>
      <c r="AT65" s="489"/>
      <c r="AU65" s="489"/>
      <c r="AV65" s="489"/>
      <c r="AW65" s="493"/>
      <c r="AX65" s="483"/>
      <c r="AY65" s="484"/>
      <c r="AZ65" s="484"/>
      <c r="BA65" s="484"/>
      <c r="BB65" s="484"/>
      <c r="BC65" s="484"/>
      <c r="BD65" s="484"/>
      <c r="BE65" s="484"/>
      <c r="BF65" s="484"/>
      <c r="BG65" s="485"/>
      <c r="BH65" s="56"/>
      <c r="BI65" s="522"/>
      <c r="BJ65" s="523"/>
      <c r="BK65" s="523"/>
      <c r="BL65" s="523"/>
      <c r="BM65" s="523"/>
      <c r="BN65" s="524"/>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row>
    <row r="66" spans="1:100" ht="15" customHeight="1" x14ac:dyDescent="0.35">
      <c r="A66" s="56"/>
      <c r="B66" s="307"/>
      <c r="C66" s="307"/>
      <c r="D66" s="308"/>
      <c r="E66" s="465" t="s">
        <v>105</v>
      </c>
      <c r="F66" s="466"/>
      <c r="G66" s="466"/>
      <c r="H66" s="466"/>
      <c r="I66" s="466"/>
      <c r="J66" s="455" t="str">
        <f>IF(AND('Mapa final'!$K$7="Baja",'Mapa final'!$O$7="Leve"),CONCATENATE("R",'Mapa final'!$A$7),"")</f>
        <v/>
      </c>
      <c r="K66" s="456"/>
      <c r="L66" s="456" t="str">
        <f>IF(AND('Mapa final'!$K$10="Baja",'Mapa final'!$O$10="Leve"),CONCATENATE("R",'Mapa final'!$A$10),"")</f>
        <v/>
      </c>
      <c r="M66" s="456"/>
      <c r="N66" s="456" t="str">
        <f>IF(AND('Mapa final'!$K$13="Baja",'Mapa final'!$O$13="Leve"),CONCATENATE("R",'Mapa final'!$A$13),"")</f>
        <v/>
      </c>
      <c r="O66" s="456"/>
      <c r="P66" s="456" t="e">
        <f>IF(AND('Mapa final'!#REF!="Baja",'Mapa final'!#REF!="Leve"),CONCATENATE("R",'Mapa final'!#REF!),"")</f>
        <v>#REF!</v>
      </c>
      <c r="Q66" s="456"/>
      <c r="R66" s="456" t="e">
        <f>IF(AND('Mapa final'!#REF!="Baja",'Mapa final'!#REF!="Leve"),CONCATENATE("R",'Mapa final'!#REF!),"")</f>
        <v>#REF!</v>
      </c>
      <c r="S66" s="499"/>
      <c r="T66" s="478" t="str">
        <f>IF(AND('Mapa final'!$K$7="Baja",'Mapa final'!$O$7="Menor"),CONCATENATE("R",'Mapa final'!$A$7),"")</f>
        <v/>
      </c>
      <c r="U66" s="463"/>
      <c r="V66" s="463" t="str">
        <f>IF(AND('Mapa final'!$K$10="Baja",'Mapa final'!$O$10="Menor"),CONCATENATE("R",'Mapa final'!$A$10),"")</f>
        <v/>
      </c>
      <c r="W66" s="463"/>
      <c r="X66" s="463" t="str">
        <f>IF(AND('Mapa final'!$K$13="Baja",'Mapa final'!$O$13="Menor"),CONCATENATE("R",'Mapa final'!$A$13),"")</f>
        <v/>
      </c>
      <c r="Y66" s="463"/>
      <c r="Z66" s="463" t="e">
        <f>IF(AND('Mapa final'!#REF!="Baja",'Mapa final'!#REF!="Menor"),CONCATENATE("R",'Mapa final'!#REF!),"")</f>
        <v>#REF!</v>
      </c>
      <c r="AA66" s="463"/>
      <c r="AB66" s="463" t="e">
        <f>IF(AND('Mapa final'!#REF!="Baja",'Mapa final'!#REF!="Menor"),CONCATENATE("R",'Mapa final'!#REF!),"")</f>
        <v>#REF!</v>
      </c>
      <c r="AC66" s="479"/>
      <c r="AD66" s="478" t="str">
        <f>IF(AND('Mapa final'!$K$7="Baja",'Mapa final'!$O$7="Moderado"),CONCATENATE("R",'Mapa final'!$A$7),"")</f>
        <v>R1</v>
      </c>
      <c r="AE66" s="463"/>
      <c r="AF66" s="463" t="str">
        <f>IF(AND('Mapa final'!$K$10="Baja",'Mapa final'!$O$10="Moderado"),CONCATENATE("R",'Mapa final'!$A$10),"")</f>
        <v/>
      </c>
      <c r="AG66" s="463"/>
      <c r="AH66" s="463" t="str">
        <f>IF(AND('Mapa final'!$K$13="Baja",'Mapa final'!$O$13="Moderado"),CONCATENATE("R",'Mapa final'!$A$13),"")</f>
        <v/>
      </c>
      <c r="AI66" s="463"/>
      <c r="AJ66" s="463" t="e">
        <f>IF(AND('Mapa final'!#REF!="Baja",'Mapa final'!#REF!="Moderado"),CONCATENATE("R",'Mapa final'!#REF!),"")</f>
        <v>#REF!</v>
      </c>
      <c r="AK66" s="463"/>
      <c r="AL66" s="463" t="e">
        <f>IF(AND('Mapa final'!#REF!="Baja",'Mapa final'!#REF!="Moderado"),CONCATENATE("R",'Mapa final'!#REF!),"")</f>
        <v>#REF!</v>
      </c>
      <c r="AM66" s="479"/>
      <c r="AN66" s="494" t="str">
        <f>IF(AND('Mapa final'!$K$7="Baja",'Mapa final'!$O$7="Mayor"),CONCATENATE("R",'Mapa final'!$A$7),"")</f>
        <v/>
      </c>
      <c r="AO66" s="495"/>
      <c r="AP66" s="495" t="str">
        <f>IF(AND('Mapa final'!$K$10="Baja",'Mapa final'!$O$10="Mayor"),CONCATENATE("R",'Mapa final'!$A$10),"")</f>
        <v/>
      </c>
      <c r="AQ66" s="495"/>
      <c r="AR66" s="495" t="str">
        <f>IF(AND('Mapa final'!$K$13="Baja",'Mapa final'!$O$13="Mayor"),CONCATENATE("R",'Mapa final'!$A$13),"")</f>
        <v/>
      </c>
      <c r="AS66" s="495"/>
      <c r="AT66" s="495" t="e">
        <f>IF(AND('Mapa final'!#REF!="Baja",'Mapa final'!#REF!="Mayor"),CONCATENATE("R",'Mapa final'!#REF!),"")</f>
        <v>#REF!</v>
      </c>
      <c r="AU66" s="495"/>
      <c r="AV66" s="495" t="e">
        <f>IF(AND('Mapa final'!#REF!="Baja",'Mapa final'!#REF!="Mayor"),CONCATENATE("R",'Mapa final'!#REF!),"")</f>
        <v>#REF!</v>
      </c>
      <c r="AW66" s="496"/>
      <c r="AX66" s="486" t="str">
        <f>IF(AND('Mapa final'!$K$7="Baja",'Mapa final'!$O$7="Catastrófico"),CONCATENATE("R",'Mapa final'!$A$7),"")</f>
        <v/>
      </c>
      <c r="AY66" s="487"/>
      <c r="AZ66" s="487" t="str">
        <f>IF(AND('Mapa final'!$K$10="Baja",'Mapa final'!$O$10="Catastrófico"),CONCATENATE("R",'Mapa final'!$A$10),"")</f>
        <v/>
      </c>
      <c r="BA66" s="487"/>
      <c r="BB66" s="487" t="str">
        <f>IF(AND('Mapa final'!$K$13="Baja",'Mapa final'!$O$13="Catastrófico"),CONCATENATE("R",'Mapa final'!$A$13),"")</f>
        <v/>
      </c>
      <c r="BC66" s="487"/>
      <c r="BD66" s="487" t="e">
        <f>IF(AND('Mapa final'!#REF!="Baja",'Mapa final'!#REF!="Catastrófico"),CONCATENATE("R",'Mapa final'!#REF!),"")</f>
        <v>#REF!</v>
      </c>
      <c r="BE66" s="487"/>
      <c r="BF66" s="487" t="e">
        <f>IF(AND('Mapa final'!#REF!="Baja",'Mapa final'!#REF!="Catastrófico"),CONCATENATE("R",'Mapa final'!#REF!),"")</f>
        <v>#REF!</v>
      </c>
      <c r="BG66" s="488"/>
      <c r="BH66" s="56"/>
      <c r="BI66" s="522"/>
      <c r="BJ66" s="523"/>
      <c r="BK66" s="523"/>
      <c r="BL66" s="523"/>
      <c r="BM66" s="523"/>
      <c r="BN66" s="524"/>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row>
    <row r="67" spans="1:100" ht="15" customHeight="1" x14ac:dyDescent="0.35">
      <c r="A67" s="56"/>
      <c r="B67" s="307"/>
      <c r="C67" s="307"/>
      <c r="D67" s="308"/>
      <c r="E67" s="468"/>
      <c r="F67" s="469"/>
      <c r="G67" s="469"/>
      <c r="H67" s="469"/>
      <c r="I67" s="474"/>
      <c r="J67" s="451"/>
      <c r="K67" s="452"/>
      <c r="L67" s="452"/>
      <c r="M67" s="452"/>
      <c r="N67" s="452"/>
      <c r="O67" s="452"/>
      <c r="P67" s="452"/>
      <c r="Q67" s="452"/>
      <c r="R67" s="452"/>
      <c r="S67" s="500"/>
      <c r="T67" s="457"/>
      <c r="U67" s="458"/>
      <c r="V67" s="458"/>
      <c r="W67" s="458"/>
      <c r="X67" s="458"/>
      <c r="Y67" s="458"/>
      <c r="Z67" s="458"/>
      <c r="AA67" s="458"/>
      <c r="AB67" s="458"/>
      <c r="AC67" s="461"/>
      <c r="AD67" s="457"/>
      <c r="AE67" s="458"/>
      <c r="AF67" s="458"/>
      <c r="AG67" s="458"/>
      <c r="AH67" s="458"/>
      <c r="AI67" s="458"/>
      <c r="AJ67" s="458"/>
      <c r="AK67" s="458"/>
      <c r="AL67" s="458"/>
      <c r="AM67" s="461"/>
      <c r="AN67" s="491"/>
      <c r="AO67" s="450"/>
      <c r="AP67" s="450"/>
      <c r="AQ67" s="450"/>
      <c r="AR67" s="450"/>
      <c r="AS67" s="450"/>
      <c r="AT67" s="450"/>
      <c r="AU67" s="450"/>
      <c r="AV67" s="450"/>
      <c r="AW67" s="490"/>
      <c r="AX67" s="482"/>
      <c r="AY67" s="480"/>
      <c r="AZ67" s="480"/>
      <c r="BA67" s="480"/>
      <c r="BB67" s="480"/>
      <c r="BC67" s="480"/>
      <c r="BD67" s="480"/>
      <c r="BE67" s="480"/>
      <c r="BF67" s="480"/>
      <c r="BG67" s="481"/>
      <c r="BH67" s="56"/>
      <c r="BI67" s="522"/>
      <c r="BJ67" s="523"/>
      <c r="BK67" s="523"/>
      <c r="BL67" s="523"/>
      <c r="BM67" s="523"/>
      <c r="BN67" s="524"/>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row>
    <row r="68" spans="1:100" ht="15" customHeight="1" x14ac:dyDescent="0.35">
      <c r="A68" s="56"/>
      <c r="B68" s="307"/>
      <c r="C68" s="307"/>
      <c r="D68" s="308"/>
      <c r="E68" s="468"/>
      <c r="F68" s="469"/>
      <c r="G68" s="469"/>
      <c r="H68" s="469"/>
      <c r="I68" s="474"/>
      <c r="J68" s="451" t="str">
        <f>IF(AND('Mapa final'!$K$16="Baja",'Mapa final'!$O$16="Leve"),CONCATENATE("R",'Mapa final'!$A$16),"")</f>
        <v/>
      </c>
      <c r="K68" s="452"/>
      <c r="L68" s="452" t="str">
        <f>IF(AND('Mapa final'!$K$19="Baja",'Mapa final'!$O$19="Leve"),CONCATENATE("R",'Mapa final'!$A$19),"")</f>
        <v/>
      </c>
      <c r="M68" s="452"/>
      <c r="N68" s="452" t="str">
        <f>IF(AND('Mapa final'!$K$22="Baja",'Mapa final'!$O$22="Leve"),CONCATENATE("R",'Mapa final'!$A$22),"")</f>
        <v/>
      </c>
      <c r="O68" s="452"/>
      <c r="P68" s="452" t="str">
        <f>IF(AND('Mapa final'!$K$25="Baja",'Mapa final'!$O$25="Leve"),CONCATENATE("R",'Mapa final'!$A$25),"")</f>
        <v/>
      </c>
      <c r="Q68" s="452"/>
      <c r="R68" s="452" t="str">
        <f>IF(AND('Mapa final'!$K$28="Baja",'Mapa final'!$O$28="Leve"),CONCATENATE("R",'Mapa final'!$A$28),"")</f>
        <v/>
      </c>
      <c r="S68" s="500"/>
      <c r="T68" s="457" t="str">
        <f>IF(AND('Mapa final'!$K$16="Baja",'Mapa final'!$O$16="Menor"),CONCATENATE("R",'Mapa final'!$A$16),"")</f>
        <v/>
      </c>
      <c r="U68" s="458"/>
      <c r="V68" s="458" t="str">
        <f>IF(AND('Mapa final'!$K$19="Baja",'Mapa final'!$O$19="Menor"),CONCATENATE("R",'Mapa final'!$A$19),"")</f>
        <v/>
      </c>
      <c r="W68" s="458"/>
      <c r="X68" s="458" t="str">
        <f>IF(AND('Mapa final'!$K$22="Baja",'Mapa final'!$O$22="Menor"),CONCATENATE("R",'Mapa final'!$A$22),"")</f>
        <v/>
      </c>
      <c r="Y68" s="458"/>
      <c r="Z68" s="458" t="str">
        <f>IF(AND('Mapa final'!$K$25="Baja",'Mapa final'!$O$25="Menor"),CONCATENATE("R",'Mapa final'!$A$25),"")</f>
        <v/>
      </c>
      <c r="AA68" s="458"/>
      <c r="AB68" s="458" t="str">
        <f>IF(AND('Mapa final'!$K$28="Baja",'Mapa final'!$O$28="Menor"),CONCATENATE("R",'Mapa final'!$A$28),"")</f>
        <v/>
      </c>
      <c r="AC68" s="461"/>
      <c r="AD68" s="457" t="str">
        <f>IF(AND('Mapa final'!$K$16="Baja",'Mapa final'!$O$16="Moderado"),CONCATENATE("R",'Mapa final'!$A$16),"")</f>
        <v/>
      </c>
      <c r="AE68" s="458"/>
      <c r="AF68" s="458" t="str">
        <f>IF(AND('Mapa final'!$K$19="Baja",'Mapa final'!$O$19="Moderado"),CONCATENATE("R",'Mapa final'!$A$19),"")</f>
        <v/>
      </c>
      <c r="AG68" s="458"/>
      <c r="AH68" s="458" t="str">
        <f>IF(AND('Mapa final'!$K$22="Baja",'Mapa final'!$O$22="Moderado"),CONCATENATE("R",'Mapa final'!$A$22),"")</f>
        <v/>
      </c>
      <c r="AI68" s="458"/>
      <c r="AJ68" s="458" t="str">
        <f>IF(AND('Mapa final'!$K$25="Baja",'Mapa final'!$O$25="Moderado"),CONCATENATE("R",'Mapa final'!$A$25),"")</f>
        <v/>
      </c>
      <c r="AK68" s="458"/>
      <c r="AL68" s="458" t="str">
        <f>IF(AND('Mapa final'!$K$28="Baja",'Mapa final'!$O$28="Moderado"),CONCATENATE("R",'Mapa final'!$A$28),"")</f>
        <v/>
      </c>
      <c r="AM68" s="461"/>
      <c r="AN68" s="491" t="str">
        <f>IF(AND('Mapa final'!$K$16="Baja",'Mapa final'!$O$16="Mayor"),CONCATENATE("R",'Mapa final'!$A$16),"")</f>
        <v/>
      </c>
      <c r="AO68" s="450"/>
      <c r="AP68" s="450" t="str">
        <f>IF(AND('Mapa final'!$K$19="Baja",'Mapa final'!$O$19="Mayor"),CONCATENATE("R",'Mapa final'!$A$19),"")</f>
        <v/>
      </c>
      <c r="AQ68" s="450"/>
      <c r="AR68" s="450" t="str">
        <f>IF(AND('Mapa final'!$K$22="Baja",'Mapa final'!$O$22="Mayor"),CONCATENATE("R",'Mapa final'!$A$22),"")</f>
        <v/>
      </c>
      <c r="AS68" s="450"/>
      <c r="AT68" s="450" t="str">
        <f>IF(AND('Mapa final'!$K$25="Baja",'Mapa final'!$O$25="Mayor"),CONCATENATE("R",'Mapa final'!$A$25),"")</f>
        <v/>
      </c>
      <c r="AU68" s="450"/>
      <c r="AV68" s="450" t="str">
        <f>IF(AND('Mapa final'!$K$28="Baja",'Mapa final'!$O$28="Mayor"),CONCATENATE("R",'Mapa final'!$A$28),"")</f>
        <v/>
      </c>
      <c r="AW68" s="490"/>
      <c r="AX68" s="482" t="str">
        <f>IF(AND('Mapa final'!$K$16="Baja",'Mapa final'!$O$16="Catastrófico"),CONCATENATE("R",'Mapa final'!$A$16),"")</f>
        <v/>
      </c>
      <c r="AY68" s="480"/>
      <c r="AZ68" s="480" t="str">
        <f>IF(AND('Mapa final'!$K$19="Baja",'Mapa final'!$O$19="Catastrófico"),CONCATENATE("R",'Mapa final'!$A$19),"")</f>
        <v/>
      </c>
      <c r="BA68" s="480"/>
      <c r="BB68" s="480" t="str">
        <f>IF(AND('Mapa final'!$K$22="Baja",'Mapa final'!$O$22="Catastrófico"),CONCATENATE("R",'Mapa final'!$A$22),"")</f>
        <v/>
      </c>
      <c r="BC68" s="480"/>
      <c r="BD68" s="480" t="str">
        <f>IF(AND('Mapa final'!$K$25="Baja",'Mapa final'!$O$25="Catastrófico"),CONCATENATE("R",'Mapa final'!$A$25),"")</f>
        <v/>
      </c>
      <c r="BE68" s="480"/>
      <c r="BF68" s="480" t="str">
        <f>IF(AND('Mapa final'!$K$28="Baja",'Mapa final'!$O$28="Catastrófico"),CONCATENATE("R",'Mapa final'!$A$28),"")</f>
        <v/>
      </c>
      <c r="BG68" s="481"/>
      <c r="BH68" s="56"/>
      <c r="BI68" s="522"/>
      <c r="BJ68" s="523"/>
      <c r="BK68" s="523"/>
      <c r="BL68" s="523"/>
      <c r="BM68" s="523"/>
      <c r="BN68" s="524"/>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row>
    <row r="69" spans="1:100" ht="15" customHeight="1" x14ac:dyDescent="0.35">
      <c r="A69" s="56"/>
      <c r="B69" s="307"/>
      <c r="C69" s="307"/>
      <c r="D69" s="308"/>
      <c r="E69" s="468"/>
      <c r="F69" s="469"/>
      <c r="G69" s="469"/>
      <c r="H69" s="469"/>
      <c r="I69" s="474"/>
      <c r="J69" s="451"/>
      <c r="K69" s="452"/>
      <c r="L69" s="452"/>
      <c r="M69" s="452"/>
      <c r="N69" s="452"/>
      <c r="O69" s="452"/>
      <c r="P69" s="452"/>
      <c r="Q69" s="452"/>
      <c r="R69" s="452"/>
      <c r="S69" s="500"/>
      <c r="T69" s="457"/>
      <c r="U69" s="458"/>
      <c r="V69" s="458"/>
      <c r="W69" s="458"/>
      <c r="X69" s="458"/>
      <c r="Y69" s="458"/>
      <c r="Z69" s="458"/>
      <c r="AA69" s="458"/>
      <c r="AB69" s="458"/>
      <c r="AC69" s="461"/>
      <c r="AD69" s="457"/>
      <c r="AE69" s="458"/>
      <c r="AF69" s="458"/>
      <c r="AG69" s="458"/>
      <c r="AH69" s="458"/>
      <c r="AI69" s="458"/>
      <c r="AJ69" s="458"/>
      <c r="AK69" s="458"/>
      <c r="AL69" s="458"/>
      <c r="AM69" s="461"/>
      <c r="AN69" s="491"/>
      <c r="AO69" s="450"/>
      <c r="AP69" s="450"/>
      <c r="AQ69" s="450"/>
      <c r="AR69" s="450"/>
      <c r="AS69" s="450"/>
      <c r="AT69" s="450"/>
      <c r="AU69" s="450"/>
      <c r="AV69" s="450"/>
      <c r="AW69" s="490"/>
      <c r="AX69" s="482"/>
      <c r="AY69" s="480"/>
      <c r="AZ69" s="480"/>
      <c r="BA69" s="480"/>
      <c r="BB69" s="480"/>
      <c r="BC69" s="480"/>
      <c r="BD69" s="480"/>
      <c r="BE69" s="480"/>
      <c r="BF69" s="480"/>
      <c r="BG69" s="481"/>
      <c r="BH69" s="56"/>
      <c r="BI69" s="522"/>
      <c r="BJ69" s="523"/>
      <c r="BK69" s="523"/>
      <c r="BL69" s="523"/>
      <c r="BM69" s="523"/>
      <c r="BN69" s="524"/>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row>
    <row r="70" spans="1:100" ht="15" customHeight="1" x14ac:dyDescent="0.35">
      <c r="A70" s="56"/>
      <c r="B70" s="307"/>
      <c r="C70" s="307"/>
      <c r="D70" s="308"/>
      <c r="E70" s="468"/>
      <c r="F70" s="469"/>
      <c r="G70" s="469"/>
      <c r="H70" s="469"/>
      <c r="I70" s="474"/>
      <c r="J70" s="451" t="str">
        <f>IF(AND('Mapa final'!$K$31="Baja",'Mapa final'!$O$31="Leve"),CONCATENATE("R",'Mapa final'!$A$31),"")</f>
        <v/>
      </c>
      <c r="K70" s="452"/>
      <c r="L70" s="452" t="str">
        <f>IF(AND('Mapa final'!$K$34="Baja",'Mapa final'!$O$34="Leve"),CONCATENATE("R",'Mapa final'!$A$34),"")</f>
        <v/>
      </c>
      <c r="M70" s="452"/>
      <c r="N70" s="452" t="str">
        <f>IF(AND('Mapa final'!$K$37="Baja",'Mapa final'!$O$37="Leve"),CONCATENATE("R",'Mapa final'!$A$37),"")</f>
        <v/>
      </c>
      <c r="O70" s="452"/>
      <c r="P70" s="452" t="str">
        <f>IF(AND('Mapa final'!$K$40="Baja",'Mapa final'!$O$40="Leve"),CONCATENATE("R",'Mapa final'!$A$40),"")</f>
        <v/>
      </c>
      <c r="Q70" s="452"/>
      <c r="R70" s="452" t="str">
        <f>IF(AND('Mapa final'!$K$43="Baja",'Mapa final'!$O$43="Leve"),CONCATENATE("R",'Mapa final'!$A$43),"")</f>
        <v/>
      </c>
      <c r="S70" s="500"/>
      <c r="T70" s="457" t="str">
        <f>IF(AND('Mapa final'!$K$31="Baja",'Mapa final'!$O$31="Menor"),CONCATENATE("R",'Mapa final'!$A$31),"")</f>
        <v/>
      </c>
      <c r="U70" s="458"/>
      <c r="V70" s="458" t="str">
        <f>IF(AND('Mapa final'!$K$34="Baja",'Mapa final'!$O$34="Menor"),CONCATENATE("R",'Mapa final'!$A$34),"")</f>
        <v/>
      </c>
      <c r="W70" s="458"/>
      <c r="X70" s="458" t="str">
        <f>IF(AND('Mapa final'!$K$37="Baja",'Mapa final'!$O$37="Menor"),CONCATENATE("R",'Mapa final'!$A$37),"")</f>
        <v/>
      </c>
      <c r="Y70" s="458"/>
      <c r="Z70" s="458" t="str">
        <f>IF(AND('Mapa final'!$K$40="Baja",'Mapa final'!$O$40="Menor"),CONCATENATE("R",'Mapa final'!$A$40),"")</f>
        <v/>
      </c>
      <c r="AA70" s="458"/>
      <c r="AB70" s="458" t="str">
        <f>IF(AND('Mapa final'!$K$43="Baja",'Mapa final'!$O$43="Menor"),CONCATENATE("R",'Mapa final'!$A$43),"")</f>
        <v/>
      </c>
      <c r="AC70" s="461"/>
      <c r="AD70" s="457" t="str">
        <f>IF(AND('Mapa final'!$K$31="Baja",'Mapa final'!$O$31="Moderado"),CONCATENATE("R",'Mapa final'!$A$31),"")</f>
        <v/>
      </c>
      <c r="AE70" s="458"/>
      <c r="AF70" s="458" t="str">
        <f>IF(AND('Mapa final'!$K$34="Baja",'Mapa final'!$O$34="Moderado"),CONCATENATE("R",'Mapa final'!$A$34),"")</f>
        <v>R11</v>
      </c>
      <c r="AG70" s="458"/>
      <c r="AH70" s="458" t="str">
        <f>IF(AND('Mapa final'!$K$37="Baja",'Mapa final'!$O$37="Moderado"),CONCATENATE("R",'Mapa final'!$A$37),"")</f>
        <v/>
      </c>
      <c r="AI70" s="458"/>
      <c r="AJ70" s="458" t="str">
        <f>IF(AND('Mapa final'!$K$40="Baja",'Mapa final'!$O$40="Moderado"),CONCATENATE("R",'Mapa final'!$A$40),"")</f>
        <v>R13</v>
      </c>
      <c r="AK70" s="458"/>
      <c r="AL70" s="458" t="str">
        <f>IF(AND('Mapa final'!$K$43="Baja",'Mapa final'!$O$43="Moderado"),CONCATENATE("R",'Mapa final'!$A$43),"")</f>
        <v/>
      </c>
      <c r="AM70" s="461"/>
      <c r="AN70" s="491" t="str">
        <f>IF(AND('Mapa final'!$K$31="Baja",'Mapa final'!$O$31="Mayor"),CONCATENATE("R",'Mapa final'!$A$31),"")</f>
        <v>R10</v>
      </c>
      <c r="AO70" s="450"/>
      <c r="AP70" s="450" t="str">
        <f>IF(AND('Mapa final'!$K$34="Baja",'Mapa final'!$O$34="Mayor"),CONCATENATE("R",'Mapa final'!$A$34),"")</f>
        <v/>
      </c>
      <c r="AQ70" s="450"/>
      <c r="AR70" s="450" t="str">
        <f>IF(AND('Mapa final'!$K$37="Baja",'Mapa final'!$O$37="Mayor"),CONCATENATE("R",'Mapa final'!$A$37),"")</f>
        <v/>
      </c>
      <c r="AS70" s="450"/>
      <c r="AT70" s="450" t="str">
        <f>IF(AND('Mapa final'!$K$40="Baja",'Mapa final'!$O$40="Mayor"),CONCATENATE("R",'Mapa final'!$A$40),"")</f>
        <v/>
      </c>
      <c r="AU70" s="450"/>
      <c r="AV70" s="450" t="str">
        <f>IF(AND('Mapa final'!$K$43="Baja",'Mapa final'!$O$43="Mayor"),CONCATENATE("R",'Mapa final'!$A$43),"")</f>
        <v/>
      </c>
      <c r="AW70" s="490"/>
      <c r="AX70" s="482" t="str">
        <f>IF(AND('Mapa final'!$K$31="Baja",'Mapa final'!$O$31="Catastrófico"),CONCATENATE("R",'Mapa final'!$A$31),"")</f>
        <v/>
      </c>
      <c r="AY70" s="480"/>
      <c r="AZ70" s="480" t="str">
        <f>IF(AND('Mapa final'!$K$34="Baja",'Mapa final'!$O$34="Catastrófico"),CONCATENATE("R",'Mapa final'!$A$34),"")</f>
        <v/>
      </c>
      <c r="BA70" s="480"/>
      <c r="BB70" s="480" t="str">
        <f>IF(AND('Mapa final'!$K$37="Baja",'Mapa final'!$O$37="Catastrófico"),CONCATENATE("R",'Mapa final'!$A$37),"")</f>
        <v/>
      </c>
      <c r="BC70" s="480"/>
      <c r="BD70" s="480" t="str">
        <f>IF(AND('Mapa final'!$K$40="Baja",'Mapa final'!$O$40="Catastrófico"),CONCATENATE("R",'Mapa final'!$A$40),"")</f>
        <v/>
      </c>
      <c r="BE70" s="480"/>
      <c r="BF70" s="480" t="str">
        <f>IF(AND('Mapa final'!$K$43="Baja",'Mapa final'!$O$43="Catastrófico"),CONCATENATE("R",'Mapa final'!$A$43),"")</f>
        <v/>
      </c>
      <c r="BG70" s="481"/>
      <c r="BH70" s="56"/>
      <c r="BI70" s="522"/>
      <c r="BJ70" s="523"/>
      <c r="BK70" s="523"/>
      <c r="BL70" s="523"/>
      <c r="BM70" s="523"/>
      <c r="BN70" s="524"/>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row>
    <row r="71" spans="1:100" ht="15" customHeight="1" x14ac:dyDescent="0.35">
      <c r="A71" s="56"/>
      <c r="B71" s="307"/>
      <c r="C71" s="307"/>
      <c r="D71" s="308"/>
      <c r="E71" s="468"/>
      <c r="F71" s="469"/>
      <c r="G71" s="469"/>
      <c r="H71" s="469"/>
      <c r="I71" s="474"/>
      <c r="J71" s="451"/>
      <c r="K71" s="452"/>
      <c r="L71" s="452"/>
      <c r="M71" s="452"/>
      <c r="N71" s="452"/>
      <c r="O71" s="452"/>
      <c r="P71" s="452"/>
      <c r="Q71" s="452"/>
      <c r="R71" s="452"/>
      <c r="S71" s="500"/>
      <c r="T71" s="457"/>
      <c r="U71" s="458"/>
      <c r="V71" s="458"/>
      <c r="W71" s="458"/>
      <c r="X71" s="458"/>
      <c r="Y71" s="458"/>
      <c r="Z71" s="458"/>
      <c r="AA71" s="458"/>
      <c r="AB71" s="458"/>
      <c r="AC71" s="461"/>
      <c r="AD71" s="457"/>
      <c r="AE71" s="458"/>
      <c r="AF71" s="458"/>
      <c r="AG71" s="458"/>
      <c r="AH71" s="458"/>
      <c r="AI71" s="458"/>
      <c r="AJ71" s="458"/>
      <c r="AK71" s="458"/>
      <c r="AL71" s="458"/>
      <c r="AM71" s="461"/>
      <c r="AN71" s="491"/>
      <c r="AO71" s="450"/>
      <c r="AP71" s="450"/>
      <c r="AQ71" s="450"/>
      <c r="AR71" s="450"/>
      <c r="AS71" s="450"/>
      <c r="AT71" s="450"/>
      <c r="AU71" s="450"/>
      <c r="AV71" s="450"/>
      <c r="AW71" s="490"/>
      <c r="AX71" s="482"/>
      <c r="AY71" s="480"/>
      <c r="AZ71" s="480"/>
      <c r="BA71" s="480"/>
      <c r="BB71" s="480"/>
      <c r="BC71" s="480"/>
      <c r="BD71" s="480"/>
      <c r="BE71" s="480"/>
      <c r="BF71" s="480"/>
      <c r="BG71" s="481"/>
      <c r="BH71" s="56"/>
      <c r="BI71" s="522"/>
      <c r="BJ71" s="523"/>
      <c r="BK71" s="523"/>
      <c r="BL71" s="523"/>
      <c r="BM71" s="523"/>
      <c r="BN71" s="524"/>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row>
    <row r="72" spans="1:100" ht="15" customHeight="1" x14ac:dyDescent="0.35">
      <c r="A72" s="56"/>
      <c r="B72" s="307"/>
      <c r="C72" s="307"/>
      <c r="D72" s="308"/>
      <c r="E72" s="468"/>
      <c r="F72" s="469"/>
      <c r="G72" s="469"/>
      <c r="H72" s="469"/>
      <c r="I72" s="474"/>
      <c r="J72" s="451" t="str">
        <f>IF(AND('Mapa final'!$K$46="Baja",'Mapa final'!$O$46="Leve"),CONCATENATE("R",'Mapa final'!$A$46),"")</f>
        <v/>
      </c>
      <c r="K72" s="452"/>
      <c r="L72" s="452" t="str">
        <f>IF(AND('Mapa final'!$K$49="Baja",'Mapa final'!$O$49="Leve"),CONCATENATE("R",'Mapa final'!$A$49),"")</f>
        <v/>
      </c>
      <c r="M72" s="452"/>
      <c r="N72" s="452" t="str">
        <f>IF(AND('Mapa final'!$K$52="Baja",'Mapa final'!$O$52="Leve"),CONCATENATE("R",'Mapa final'!$A$52),"")</f>
        <v/>
      </c>
      <c r="O72" s="452"/>
      <c r="P72" s="452" t="str">
        <f>IF(AND('Mapa final'!$K$55="Baja",'Mapa final'!$O$55="Leve"),CONCATENATE("R",'Mapa final'!$A$55),"")</f>
        <v/>
      </c>
      <c r="Q72" s="452"/>
      <c r="R72" s="452" t="str">
        <f>IF(AND('Mapa final'!$K$58="Baja",'Mapa final'!$O$58="Leve"),CONCATENATE("R",'Mapa final'!$A$58),"")</f>
        <v/>
      </c>
      <c r="S72" s="500"/>
      <c r="T72" s="457" t="str">
        <f>IF(AND('Mapa final'!$K$46="Baja",'Mapa final'!$O$46="Menor"),CONCATENATE("R",'Mapa final'!$A$46),"")</f>
        <v/>
      </c>
      <c r="U72" s="458"/>
      <c r="V72" s="458" t="str">
        <f>IF(AND('Mapa final'!$K$49="Baja",'Mapa final'!$O$49="Menor"),CONCATENATE("R",'Mapa final'!$A$49),"")</f>
        <v/>
      </c>
      <c r="W72" s="458"/>
      <c r="X72" s="458" t="str">
        <f>IF(AND('Mapa final'!$K$52="Baja",'Mapa final'!$O$52="Menor"),CONCATENATE("R",'Mapa final'!$A$52),"")</f>
        <v/>
      </c>
      <c r="Y72" s="458"/>
      <c r="Z72" s="458" t="str">
        <f>IF(AND('Mapa final'!$K$55="Baja",'Mapa final'!$O$55="Menor"),CONCATENATE("R",'Mapa final'!$A$55),"")</f>
        <v/>
      </c>
      <c r="AA72" s="458"/>
      <c r="AB72" s="458" t="str">
        <f>IF(AND('Mapa final'!$K$58="Baja",'Mapa final'!$O$58="Menor"),CONCATENATE("R",'Mapa final'!$A$58),"")</f>
        <v/>
      </c>
      <c r="AC72" s="461"/>
      <c r="AD72" s="457" t="str">
        <f>IF(AND('Mapa final'!$K$46="Baja",'Mapa final'!$O$46="Moderado"),CONCATENATE("R",'Mapa final'!$A$46),"")</f>
        <v/>
      </c>
      <c r="AE72" s="458"/>
      <c r="AF72" s="458" t="str">
        <f>IF(AND('Mapa final'!$K$49="Baja",'Mapa final'!$O$49="Moderado"),CONCATENATE("R",'Mapa final'!$A$49),"")</f>
        <v/>
      </c>
      <c r="AG72" s="458"/>
      <c r="AH72" s="458" t="str">
        <f>IF(AND('Mapa final'!$K$52="Baja",'Mapa final'!$O$52="Moderado"),CONCATENATE("R",'Mapa final'!$A$52),"")</f>
        <v/>
      </c>
      <c r="AI72" s="458"/>
      <c r="AJ72" s="458" t="str">
        <f>IF(AND('Mapa final'!$K$55="Baja",'Mapa final'!$O$55="Moderado"),CONCATENATE("R",'Mapa final'!$A$55),"")</f>
        <v/>
      </c>
      <c r="AK72" s="458"/>
      <c r="AL72" s="458" t="str">
        <f>IF(AND('Mapa final'!$K$58="Baja",'Mapa final'!$O$58="Moderado"),CONCATENATE("R",'Mapa final'!$A$58),"")</f>
        <v/>
      </c>
      <c r="AM72" s="461"/>
      <c r="AN72" s="491" t="str">
        <f>IF(AND('Mapa final'!$K$46="Baja",'Mapa final'!$O$46="Mayor"),CONCATENATE("R",'Mapa final'!$A$46),"")</f>
        <v/>
      </c>
      <c r="AO72" s="450"/>
      <c r="AP72" s="450" t="str">
        <f>IF(AND('Mapa final'!$K$49="Baja",'Mapa final'!$O$49="Mayor"),CONCATENATE("R",'Mapa final'!$A$49),"")</f>
        <v/>
      </c>
      <c r="AQ72" s="450"/>
      <c r="AR72" s="450" t="str">
        <f>IF(AND('Mapa final'!$K$52="Baja",'Mapa final'!$O$52="Mayor"),CONCATENATE("R",'Mapa final'!$A$52),"")</f>
        <v/>
      </c>
      <c r="AS72" s="450"/>
      <c r="AT72" s="450" t="str">
        <f>IF(AND('Mapa final'!$K$55="Baja",'Mapa final'!$O$55="Mayor"),CONCATENATE("R",'Mapa final'!$A$55),"")</f>
        <v/>
      </c>
      <c r="AU72" s="450"/>
      <c r="AV72" s="450" t="str">
        <f>IF(AND('Mapa final'!$K$58="Baja",'Mapa final'!$O$58="Mayor"),CONCATENATE("R",'Mapa final'!$A$58),"")</f>
        <v/>
      </c>
      <c r="AW72" s="490"/>
      <c r="AX72" s="482" t="str">
        <f>IF(AND('Mapa final'!$K$46="Baja",'Mapa final'!$O$46="Catastrófico"),CONCATENATE("R",'Mapa final'!$A$46),"")</f>
        <v/>
      </c>
      <c r="AY72" s="480"/>
      <c r="AZ72" s="480" t="str">
        <f>IF(AND('Mapa final'!$K$49="Baja",'Mapa final'!$O$49="Catastrófico"),CONCATENATE("R",'Mapa final'!$A$49),"")</f>
        <v/>
      </c>
      <c r="BA72" s="480"/>
      <c r="BB72" s="480" t="str">
        <f>IF(AND('Mapa final'!$K$52="Baja",'Mapa final'!$O$52="Catastrófico"),CONCATENATE("R",'Mapa final'!$A$52),"")</f>
        <v/>
      </c>
      <c r="BC72" s="480"/>
      <c r="BD72" s="480" t="str">
        <f>IF(AND('Mapa final'!$K$55="Baja",'Mapa final'!$O$55="Catastrófico"),CONCATENATE("R",'Mapa final'!$A$55),"")</f>
        <v/>
      </c>
      <c r="BE72" s="480"/>
      <c r="BF72" s="480" t="str">
        <f>IF(AND('Mapa final'!$K$58="Baja",'Mapa final'!$O$58="Catastrófico"),CONCATENATE("R",'Mapa final'!$A$58),"")</f>
        <v/>
      </c>
      <c r="BG72" s="481"/>
      <c r="BH72" s="56"/>
      <c r="BI72" s="522"/>
      <c r="BJ72" s="523"/>
      <c r="BK72" s="523"/>
      <c r="BL72" s="523"/>
      <c r="BM72" s="523"/>
      <c r="BN72" s="524"/>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row>
    <row r="73" spans="1:100" ht="15" customHeight="1" thickBot="1" x14ac:dyDescent="0.4">
      <c r="A73" s="56"/>
      <c r="B73" s="307"/>
      <c r="C73" s="307"/>
      <c r="D73" s="308"/>
      <c r="E73" s="468"/>
      <c r="F73" s="469"/>
      <c r="G73" s="469"/>
      <c r="H73" s="469"/>
      <c r="I73" s="474"/>
      <c r="J73" s="451"/>
      <c r="K73" s="452"/>
      <c r="L73" s="452"/>
      <c r="M73" s="452"/>
      <c r="N73" s="452"/>
      <c r="O73" s="452"/>
      <c r="P73" s="452"/>
      <c r="Q73" s="452"/>
      <c r="R73" s="452"/>
      <c r="S73" s="500"/>
      <c r="T73" s="457"/>
      <c r="U73" s="458"/>
      <c r="V73" s="458"/>
      <c r="W73" s="458"/>
      <c r="X73" s="458"/>
      <c r="Y73" s="458"/>
      <c r="Z73" s="458"/>
      <c r="AA73" s="458"/>
      <c r="AB73" s="458"/>
      <c r="AC73" s="461"/>
      <c r="AD73" s="457"/>
      <c r="AE73" s="458"/>
      <c r="AF73" s="458"/>
      <c r="AG73" s="458"/>
      <c r="AH73" s="458"/>
      <c r="AI73" s="458"/>
      <c r="AJ73" s="458"/>
      <c r="AK73" s="458"/>
      <c r="AL73" s="458"/>
      <c r="AM73" s="461"/>
      <c r="AN73" s="491"/>
      <c r="AO73" s="450"/>
      <c r="AP73" s="450"/>
      <c r="AQ73" s="450"/>
      <c r="AR73" s="450"/>
      <c r="AS73" s="450"/>
      <c r="AT73" s="450"/>
      <c r="AU73" s="450"/>
      <c r="AV73" s="450"/>
      <c r="AW73" s="490"/>
      <c r="AX73" s="482"/>
      <c r="AY73" s="480"/>
      <c r="AZ73" s="480"/>
      <c r="BA73" s="480"/>
      <c r="BB73" s="480"/>
      <c r="BC73" s="480"/>
      <c r="BD73" s="480"/>
      <c r="BE73" s="480"/>
      <c r="BF73" s="480"/>
      <c r="BG73" s="481"/>
      <c r="BH73" s="56"/>
      <c r="BI73" s="525"/>
      <c r="BJ73" s="526"/>
      <c r="BK73" s="526"/>
      <c r="BL73" s="526"/>
      <c r="BM73" s="526"/>
      <c r="BN73" s="527"/>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row>
    <row r="74" spans="1:100" ht="15" customHeight="1" x14ac:dyDescent="0.35">
      <c r="A74" s="56"/>
      <c r="B74" s="307"/>
      <c r="C74" s="307"/>
      <c r="D74" s="308"/>
      <c r="E74" s="468"/>
      <c r="F74" s="469"/>
      <c r="G74" s="469"/>
      <c r="H74" s="469"/>
      <c r="I74" s="474"/>
      <c r="J74" s="451" t="str">
        <f>IF(AND('Mapa final'!$K$61="Baja",'Mapa final'!$O$61="Leve"),CONCATENATE("R",'Mapa final'!$A$61),"")</f>
        <v>R20</v>
      </c>
      <c r="K74" s="452"/>
      <c r="L74" s="452" t="str">
        <f>IF(AND('Mapa final'!$K$64="Baja",'Mapa final'!$O$64="Leve"),CONCATENATE("R",'Mapa final'!$A$64),"")</f>
        <v/>
      </c>
      <c r="M74" s="452"/>
      <c r="N74" s="452" t="str">
        <f>IF(AND('Mapa final'!$K$70="Baja",'Mapa final'!$O$70="Leve"),CONCATENATE("R",'Mapa final'!$A$70),"")</f>
        <v/>
      </c>
      <c r="O74" s="452"/>
      <c r="P74" s="452" t="str">
        <f>IF(AND('Mapa final'!$K$73="Baja",'Mapa final'!$O$73="Leve"),CONCATENATE("R",'Mapa final'!$A$73),"")</f>
        <v/>
      </c>
      <c r="Q74" s="452"/>
      <c r="R74" s="452" t="str">
        <f>IF(AND('Mapa final'!$K$76="Baja",'Mapa final'!$O$76="Leve"),CONCATENATE("R",'Mapa final'!$A$76),"")</f>
        <v/>
      </c>
      <c r="S74" s="500"/>
      <c r="T74" s="457" t="str">
        <f>IF(AND('Mapa final'!$K$61="Baja",'Mapa final'!$O$61="Menor"),CONCATENATE("R",'Mapa final'!$A$61),"")</f>
        <v/>
      </c>
      <c r="U74" s="458"/>
      <c r="V74" s="458" t="str">
        <f>IF(AND('Mapa final'!$K$64="Baja",'Mapa final'!$O$64="Menor"),CONCATENATE("R",'Mapa final'!$A$64),"")</f>
        <v>R21</v>
      </c>
      <c r="W74" s="458"/>
      <c r="X74" s="458" t="str">
        <f>IF(AND('Mapa final'!$K$70="Baja",'Mapa final'!$O$70="Menor"),CONCATENATE("R",'Mapa final'!$A$70),"")</f>
        <v/>
      </c>
      <c r="Y74" s="458"/>
      <c r="Z74" s="458" t="str">
        <f>IF(AND('Mapa final'!$K$73="Baja",'Mapa final'!$O$73="Menor"),CONCATENATE("R",'Mapa final'!$A$73),"")</f>
        <v/>
      </c>
      <c r="AA74" s="458"/>
      <c r="AB74" s="458" t="str">
        <f>IF(AND('Mapa final'!$K$76="Baja",'Mapa final'!$O$76="Menor"),CONCATENATE("R",'Mapa final'!$A$76),"")</f>
        <v/>
      </c>
      <c r="AC74" s="461"/>
      <c r="AD74" s="457" t="str">
        <f>IF(AND('Mapa final'!$K$61="Baja",'Mapa final'!$O$61="Moderado"),CONCATENATE("R",'Mapa final'!$A$61),"")</f>
        <v/>
      </c>
      <c r="AE74" s="458"/>
      <c r="AF74" s="458" t="str">
        <f>IF(AND('Mapa final'!$K$64="Baja",'Mapa final'!$O$64="Moderado"),CONCATENATE("R",'Mapa final'!$A$64),"")</f>
        <v/>
      </c>
      <c r="AG74" s="458"/>
      <c r="AH74" s="458" t="str">
        <f>IF(AND('Mapa final'!$K$70="Baja",'Mapa final'!$O$70="Moderado"),CONCATENATE("R",'Mapa final'!$A$70),"")</f>
        <v/>
      </c>
      <c r="AI74" s="458"/>
      <c r="AJ74" s="458" t="str">
        <f>IF(AND('Mapa final'!$K$73="Baja",'Mapa final'!$O$73="Moderado"),CONCATENATE("R",'Mapa final'!$A$73),"")</f>
        <v>R24</v>
      </c>
      <c r="AK74" s="458"/>
      <c r="AL74" s="458" t="str">
        <f>IF(AND('Mapa final'!$K$76="Baja",'Mapa final'!$O$76="Moderado"),CONCATENATE("R",'Mapa final'!$A$76),"")</f>
        <v>R25</v>
      </c>
      <c r="AM74" s="461"/>
      <c r="AN74" s="491" t="str">
        <f>IF(AND('Mapa final'!$K$61="Baja",'Mapa final'!$O$61="Mayor"),CONCATENATE("R",'Mapa final'!$A$61),"")</f>
        <v/>
      </c>
      <c r="AO74" s="450"/>
      <c r="AP74" s="450" t="str">
        <f>IF(AND('Mapa final'!$K$64="Baja",'Mapa final'!$O$64="Mayor"),CONCATENATE("R",'Mapa final'!$A$64),"")</f>
        <v/>
      </c>
      <c r="AQ74" s="450"/>
      <c r="AR74" s="450" t="str">
        <f>IF(AND('Mapa final'!$K$70="Baja",'Mapa final'!$O$70="Mayor"),CONCATENATE("R",'Mapa final'!$A$70),"")</f>
        <v/>
      </c>
      <c r="AS74" s="450"/>
      <c r="AT74" s="450" t="str">
        <f>IF(AND('Mapa final'!$K$73="Baja",'Mapa final'!$O$73="Mayor"),CONCATENATE("R",'Mapa final'!$A$73),"")</f>
        <v/>
      </c>
      <c r="AU74" s="450"/>
      <c r="AV74" s="450" t="str">
        <f>IF(AND('Mapa final'!$K$76="Baja",'Mapa final'!$O$76="Mayor"),CONCATENATE("R",'Mapa final'!$A$76),"")</f>
        <v/>
      </c>
      <c r="AW74" s="490"/>
      <c r="AX74" s="482" t="str">
        <f>IF(AND('Mapa final'!$K$61="Baja",'Mapa final'!$O$61="Catastrófico"),CONCATENATE("R",'Mapa final'!$A$61),"")</f>
        <v/>
      </c>
      <c r="AY74" s="480"/>
      <c r="AZ74" s="480" t="str">
        <f>IF(AND('Mapa final'!$K$64="Baja",'Mapa final'!$O$64="Catastrófico"),CONCATENATE("R",'Mapa final'!$A$64),"")</f>
        <v/>
      </c>
      <c r="BA74" s="480"/>
      <c r="BB74" s="480" t="str">
        <f>IF(AND('Mapa final'!$K$70="Baja",'Mapa final'!$O$70="Catastrófico"),CONCATENATE("R",'Mapa final'!$A$70),"")</f>
        <v/>
      </c>
      <c r="BC74" s="480"/>
      <c r="BD74" s="480" t="str">
        <f>IF(AND('Mapa final'!$K$73="Baja",'Mapa final'!$O$73="Catastrófico"),CONCATENATE("R",'Mapa final'!$A$73),"")</f>
        <v/>
      </c>
      <c r="BE74" s="480"/>
      <c r="BF74" s="480" t="str">
        <f>IF(AND('Mapa final'!$K$76="Baja",'Mapa final'!$O$76="Catastrófico"),CONCATENATE("R",'Mapa final'!$A$76),"")</f>
        <v/>
      </c>
      <c r="BG74" s="481"/>
      <c r="BH74" s="56"/>
      <c r="BI74" s="528" t="s">
        <v>76</v>
      </c>
      <c r="BJ74" s="529"/>
      <c r="BK74" s="529"/>
      <c r="BL74" s="529"/>
      <c r="BM74" s="529"/>
      <c r="BN74" s="530"/>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row>
    <row r="75" spans="1:100" ht="15" customHeight="1" x14ac:dyDescent="0.35">
      <c r="A75" s="56"/>
      <c r="B75" s="307"/>
      <c r="C75" s="307"/>
      <c r="D75" s="308"/>
      <c r="E75" s="468"/>
      <c r="F75" s="469"/>
      <c r="G75" s="469"/>
      <c r="H75" s="469"/>
      <c r="I75" s="474"/>
      <c r="J75" s="451"/>
      <c r="K75" s="452"/>
      <c r="L75" s="452"/>
      <c r="M75" s="452"/>
      <c r="N75" s="452"/>
      <c r="O75" s="452"/>
      <c r="P75" s="452"/>
      <c r="Q75" s="452"/>
      <c r="R75" s="452"/>
      <c r="S75" s="500"/>
      <c r="T75" s="457"/>
      <c r="U75" s="458"/>
      <c r="V75" s="458"/>
      <c r="W75" s="458"/>
      <c r="X75" s="458"/>
      <c r="Y75" s="458"/>
      <c r="Z75" s="458"/>
      <c r="AA75" s="458"/>
      <c r="AB75" s="458"/>
      <c r="AC75" s="461"/>
      <c r="AD75" s="457"/>
      <c r="AE75" s="458"/>
      <c r="AF75" s="458"/>
      <c r="AG75" s="458"/>
      <c r="AH75" s="458"/>
      <c r="AI75" s="458"/>
      <c r="AJ75" s="458"/>
      <c r="AK75" s="458"/>
      <c r="AL75" s="458"/>
      <c r="AM75" s="461"/>
      <c r="AN75" s="491"/>
      <c r="AO75" s="450"/>
      <c r="AP75" s="450"/>
      <c r="AQ75" s="450"/>
      <c r="AR75" s="450"/>
      <c r="AS75" s="450"/>
      <c r="AT75" s="450"/>
      <c r="AU75" s="450"/>
      <c r="AV75" s="450"/>
      <c r="AW75" s="490"/>
      <c r="AX75" s="482"/>
      <c r="AY75" s="480"/>
      <c r="AZ75" s="480"/>
      <c r="BA75" s="480"/>
      <c r="BB75" s="480"/>
      <c r="BC75" s="480"/>
      <c r="BD75" s="480"/>
      <c r="BE75" s="480"/>
      <c r="BF75" s="480"/>
      <c r="BG75" s="481"/>
      <c r="BH75" s="56"/>
      <c r="BI75" s="531"/>
      <c r="BJ75" s="532"/>
      <c r="BK75" s="532"/>
      <c r="BL75" s="532"/>
      <c r="BM75" s="532"/>
      <c r="BN75" s="533"/>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row>
    <row r="76" spans="1:100" ht="15" customHeight="1" x14ac:dyDescent="0.35">
      <c r="A76" s="56"/>
      <c r="B76" s="307"/>
      <c r="C76" s="307"/>
      <c r="D76" s="308"/>
      <c r="E76" s="468"/>
      <c r="F76" s="469"/>
      <c r="G76" s="469"/>
      <c r="H76" s="469"/>
      <c r="I76" s="474"/>
      <c r="J76" s="451" t="str">
        <f>IF(AND('Mapa final'!$K$79="Baja",'Mapa final'!$O$79="Leve"),CONCATENATE("R",'Mapa final'!$A$79),"")</f>
        <v/>
      </c>
      <c r="K76" s="452"/>
      <c r="L76" s="452" t="str">
        <f>IF(AND('Mapa final'!$K$82="Baja",'Mapa final'!$O$82="Leve"),CONCATENATE("R",'Mapa final'!$A$82),"")</f>
        <v/>
      </c>
      <c r="M76" s="452"/>
      <c r="N76" s="452" t="str">
        <f>IF(AND('Mapa final'!$K$85="Baja",'Mapa final'!$O$85="Leve"),CONCATENATE("R",'Mapa final'!$A$85),"")</f>
        <v/>
      </c>
      <c r="O76" s="452"/>
      <c r="P76" s="452" t="str">
        <f>IF(AND('Mapa final'!$K$88="Baja",'Mapa final'!$O$88="Leve"),CONCATENATE("R",'Mapa final'!$A$88),"")</f>
        <v/>
      </c>
      <c r="Q76" s="452"/>
      <c r="R76" s="452" t="str">
        <f>IF(AND('Mapa final'!$K$91="Baja",'Mapa final'!$O$91="Leve"),CONCATENATE("R",'Mapa final'!$A$91),"")</f>
        <v/>
      </c>
      <c r="S76" s="500"/>
      <c r="T76" s="457" t="str">
        <f>IF(AND('Mapa final'!$K$79="Baja",'Mapa final'!$O$79="Menor"),CONCATENATE("R",'Mapa final'!$A$79),"")</f>
        <v/>
      </c>
      <c r="U76" s="458"/>
      <c r="V76" s="458" t="str">
        <f>IF(AND('Mapa final'!$K$82="Baja",'Mapa final'!$O$82="Menor"),CONCATENATE("R",'Mapa final'!$A$82),"")</f>
        <v/>
      </c>
      <c r="W76" s="458"/>
      <c r="X76" s="458" t="str">
        <f>IF(AND('Mapa final'!$K$85="Baja",'Mapa final'!$O$85="Menor"),CONCATENATE("R",'Mapa final'!$A$85),"")</f>
        <v/>
      </c>
      <c r="Y76" s="458"/>
      <c r="Z76" s="458" t="str">
        <f>IF(AND('Mapa final'!$K$88="Baja",'Mapa final'!$O$88="Menor"),CONCATENATE("R",'Mapa final'!$A$88),"")</f>
        <v/>
      </c>
      <c r="AA76" s="458"/>
      <c r="AB76" s="458" t="str">
        <f>IF(AND('Mapa final'!$K$91="Baja",'Mapa final'!$O$91="Menor"),CONCATENATE("R",'Mapa final'!$A$91),"")</f>
        <v/>
      </c>
      <c r="AC76" s="461"/>
      <c r="AD76" s="457" t="str">
        <f>IF(AND('Mapa final'!$K$79="Baja",'Mapa final'!$O$79="Moderado"),CONCATENATE("R",'Mapa final'!$A$79),"")</f>
        <v/>
      </c>
      <c r="AE76" s="458"/>
      <c r="AF76" s="458" t="str">
        <f>IF(AND('Mapa final'!$K$82="Baja",'Mapa final'!$O$82="Moderado"),CONCATENATE("R",'Mapa final'!$A$82),"")</f>
        <v>R27</v>
      </c>
      <c r="AG76" s="458"/>
      <c r="AH76" s="458" t="str">
        <f>IF(AND('Mapa final'!$K$85="Baja",'Mapa final'!$O$85="Moderado"),CONCATENATE("R",'Mapa final'!$A$85),"")</f>
        <v/>
      </c>
      <c r="AI76" s="458"/>
      <c r="AJ76" s="458" t="str">
        <f>IF(AND('Mapa final'!$K$88="Baja",'Mapa final'!$O$88="Moderado"),CONCATENATE("R",'Mapa final'!$A$88),"")</f>
        <v/>
      </c>
      <c r="AK76" s="458"/>
      <c r="AL76" s="458" t="str">
        <f>IF(AND('Mapa final'!$K$91="Baja",'Mapa final'!$O$91="Moderado"),CONCATENATE("R",'Mapa final'!$A$91),"")</f>
        <v/>
      </c>
      <c r="AM76" s="461"/>
      <c r="AN76" s="491" t="str">
        <f>IF(AND('Mapa final'!$K$79="Baja",'Mapa final'!$O$79="Mayor"),CONCATENATE("R",'Mapa final'!$A$79),"")</f>
        <v/>
      </c>
      <c r="AO76" s="450"/>
      <c r="AP76" s="450" t="str">
        <f>IF(AND('Mapa final'!$K$82="Baja",'Mapa final'!$O$82="Mayor"),CONCATENATE("R",'Mapa final'!$A$82),"")</f>
        <v/>
      </c>
      <c r="AQ76" s="450"/>
      <c r="AR76" s="450" t="str">
        <f>IF(AND('Mapa final'!$K$85="Baja",'Mapa final'!$O$85="Mayor"),CONCATENATE("R",'Mapa final'!$A$85),"")</f>
        <v/>
      </c>
      <c r="AS76" s="450"/>
      <c r="AT76" s="450" t="str">
        <f>IF(AND('Mapa final'!$K$88="Baja",'Mapa final'!$O$88="Mayor"),CONCATENATE("R",'Mapa final'!$A$88),"")</f>
        <v/>
      </c>
      <c r="AU76" s="450"/>
      <c r="AV76" s="450" t="str">
        <f>IF(AND('Mapa final'!$K$91="Baja",'Mapa final'!$O$91="Mayor"),CONCATENATE("R",'Mapa final'!$A$91),"")</f>
        <v/>
      </c>
      <c r="AW76" s="490"/>
      <c r="AX76" s="482" t="str">
        <f>IF(AND('Mapa final'!$K$79="Baja",'Mapa final'!$O$79="Catastrófico"),CONCATENATE("R",'Mapa final'!$A$79),"")</f>
        <v/>
      </c>
      <c r="AY76" s="480"/>
      <c r="AZ76" s="480" t="str">
        <f>IF(AND('Mapa final'!$K$82="Baja",'Mapa final'!$O$82="Catastrófico"),CONCATENATE("R",'Mapa final'!$A$82),"")</f>
        <v/>
      </c>
      <c r="BA76" s="480"/>
      <c r="BB76" s="480" t="str">
        <f>IF(AND('Mapa final'!$K$85="Baja",'Mapa final'!$O$85="Catastrófico"),CONCATENATE("R",'Mapa final'!$A$85),"")</f>
        <v/>
      </c>
      <c r="BC76" s="480"/>
      <c r="BD76" s="480" t="str">
        <f>IF(AND('Mapa final'!$K$88="Baja",'Mapa final'!$O$88="Catastrófico"),CONCATENATE("R",'Mapa final'!$A$88),"")</f>
        <v/>
      </c>
      <c r="BE76" s="480"/>
      <c r="BF76" s="480" t="str">
        <f>IF(AND('Mapa final'!$K$91="Baja",'Mapa final'!$O$91="Catastrófico"),CONCATENATE("R",'Mapa final'!$A$91),"")</f>
        <v/>
      </c>
      <c r="BG76" s="481"/>
      <c r="BH76" s="56"/>
      <c r="BI76" s="531"/>
      <c r="BJ76" s="532"/>
      <c r="BK76" s="532"/>
      <c r="BL76" s="532"/>
      <c r="BM76" s="532"/>
      <c r="BN76" s="533"/>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row>
    <row r="77" spans="1:100" ht="15" customHeight="1" x14ac:dyDescent="0.35">
      <c r="A77" s="56"/>
      <c r="B77" s="307"/>
      <c r="C77" s="307"/>
      <c r="D77" s="308"/>
      <c r="E77" s="468"/>
      <c r="F77" s="469"/>
      <c r="G77" s="469"/>
      <c r="H77" s="469"/>
      <c r="I77" s="474"/>
      <c r="J77" s="451"/>
      <c r="K77" s="452"/>
      <c r="L77" s="452"/>
      <c r="M77" s="452"/>
      <c r="N77" s="452"/>
      <c r="O77" s="452"/>
      <c r="P77" s="452"/>
      <c r="Q77" s="452"/>
      <c r="R77" s="452"/>
      <c r="S77" s="500"/>
      <c r="T77" s="457"/>
      <c r="U77" s="458"/>
      <c r="V77" s="458"/>
      <c r="W77" s="458"/>
      <c r="X77" s="458"/>
      <c r="Y77" s="458"/>
      <c r="Z77" s="458"/>
      <c r="AA77" s="458"/>
      <c r="AB77" s="458"/>
      <c r="AC77" s="461"/>
      <c r="AD77" s="457"/>
      <c r="AE77" s="458"/>
      <c r="AF77" s="458"/>
      <c r="AG77" s="458"/>
      <c r="AH77" s="458"/>
      <c r="AI77" s="458"/>
      <c r="AJ77" s="458"/>
      <c r="AK77" s="458"/>
      <c r="AL77" s="458"/>
      <c r="AM77" s="461"/>
      <c r="AN77" s="491"/>
      <c r="AO77" s="450"/>
      <c r="AP77" s="450"/>
      <c r="AQ77" s="450"/>
      <c r="AR77" s="450"/>
      <c r="AS77" s="450"/>
      <c r="AT77" s="450"/>
      <c r="AU77" s="450"/>
      <c r="AV77" s="450"/>
      <c r="AW77" s="490"/>
      <c r="AX77" s="482"/>
      <c r="AY77" s="480"/>
      <c r="AZ77" s="480"/>
      <c r="BA77" s="480"/>
      <c r="BB77" s="480"/>
      <c r="BC77" s="480"/>
      <c r="BD77" s="480"/>
      <c r="BE77" s="480"/>
      <c r="BF77" s="480"/>
      <c r="BG77" s="481"/>
      <c r="BH77" s="56"/>
      <c r="BI77" s="531"/>
      <c r="BJ77" s="532"/>
      <c r="BK77" s="532"/>
      <c r="BL77" s="532"/>
      <c r="BM77" s="532"/>
      <c r="BN77" s="533"/>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row>
    <row r="78" spans="1:100" ht="15" customHeight="1" x14ac:dyDescent="0.35">
      <c r="A78" s="56"/>
      <c r="B78" s="307"/>
      <c r="C78" s="307"/>
      <c r="D78" s="308"/>
      <c r="E78" s="468"/>
      <c r="F78" s="469"/>
      <c r="G78" s="469"/>
      <c r="H78" s="469"/>
      <c r="I78" s="474"/>
      <c r="J78" s="451" t="str">
        <f>IF(AND('Mapa final'!$K$94="Baja",'Mapa final'!$O$94="Leve"),CONCATENATE("R",'Mapa final'!$A$94),"")</f>
        <v/>
      </c>
      <c r="K78" s="452"/>
      <c r="L78" s="452" t="e">
        <f>IF(AND('Mapa final'!#REF!="Baja",'Mapa final'!#REF!="Leve"),CONCATENATE("R",'Mapa final'!#REF!),"")</f>
        <v>#REF!</v>
      </c>
      <c r="M78" s="452"/>
      <c r="N78" s="452" t="str">
        <f>IF(AND('Mapa final'!$K$97="Baja",'Mapa final'!$O$97="Leve"),CONCATENATE("R",'Mapa final'!$A$97),"")</f>
        <v/>
      </c>
      <c r="O78" s="452"/>
      <c r="P78" s="452" t="str">
        <f>IF(AND('Mapa final'!$K$100="Baja",'Mapa final'!$O$100="Leve"),CONCATENATE("R",'Mapa final'!$A$100),"")</f>
        <v/>
      </c>
      <c r="Q78" s="452"/>
      <c r="R78" s="452" t="str">
        <f>IF(AND('Mapa final'!$K$103="Baja",'Mapa final'!$O$103="Leve"),CONCATENATE("R",'Mapa final'!$A$103),"")</f>
        <v/>
      </c>
      <c r="S78" s="500"/>
      <c r="T78" s="457" t="str">
        <f>IF(AND('Mapa final'!$K$94="Baja",'Mapa final'!$O$94="Menor"),CONCATENATE("R",'Mapa final'!$A$94),"")</f>
        <v/>
      </c>
      <c r="U78" s="458"/>
      <c r="V78" s="458" t="e">
        <f>IF(AND('Mapa final'!#REF!="Baja",'Mapa final'!#REF!="Menor"),CONCATENATE("R",'Mapa final'!#REF!),"")</f>
        <v>#REF!</v>
      </c>
      <c r="W78" s="458"/>
      <c r="X78" s="458" t="str">
        <f>IF(AND('Mapa final'!$K$97="Baja",'Mapa final'!$O$97="Menor"),CONCATENATE("R",'Mapa final'!$A$97),"")</f>
        <v/>
      </c>
      <c r="Y78" s="458"/>
      <c r="Z78" s="458" t="str">
        <f>IF(AND('Mapa final'!$K$100="Baja",'Mapa final'!$O$100="Menor"),CONCATENATE("R",'Mapa final'!$A$100),"")</f>
        <v/>
      </c>
      <c r="AA78" s="458"/>
      <c r="AB78" s="458" t="str">
        <f>IF(AND('Mapa final'!$K$103="Baja",'Mapa final'!$O$103="Menor"),CONCATENATE("R",'Mapa final'!$A$103),"")</f>
        <v/>
      </c>
      <c r="AC78" s="461"/>
      <c r="AD78" s="457" t="str">
        <f>IF(AND('Mapa final'!$K$94="Baja",'Mapa final'!$O$94="Moderado"),CONCATENATE("R",'Mapa final'!$A$94),"")</f>
        <v>R31</v>
      </c>
      <c r="AE78" s="458"/>
      <c r="AF78" s="458" t="e">
        <f>IF(AND('Mapa final'!#REF!="Baja",'Mapa final'!#REF!="Moderado"),CONCATENATE("R",'Mapa final'!#REF!),"")</f>
        <v>#REF!</v>
      </c>
      <c r="AG78" s="458"/>
      <c r="AH78" s="458" t="str">
        <f>IF(AND('Mapa final'!$K$97="Baja",'Mapa final'!$O$97="Moderado"),CONCATENATE("R",'Mapa final'!$A$97),"")</f>
        <v/>
      </c>
      <c r="AI78" s="458"/>
      <c r="AJ78" s="458" t="str">
        <f>IF(AND('Mapa final'!$K$100="Baja",'Mapa final'!$O$100="Moderado"),CONCATENATE("R",'Mapa final'!$A$100),"")</f>
        <v/>
      </c>
      <c r="AK78" s="458"/>
      <c r="AL78" s="458" t="str">
        <f>IF(AND('Mapa final'!$K$103="Baja",'Mapa final'!$O$103="Moderado"),CONCATENATE("R",'Mapa final'!$A$103),"")</f>
        <v/>
      </c>
      <c r="AM78" s="461"/>
      <c r="AN78" s="491" t="str">
        <f>IF(AND('Mapa final'!$K$94="Baja",'Mapa final'!$O$94="Mayor"),CONCATENATE("R",'Mapa final'!$A$94),"")</f>
        <v/>
      </c>
      <c r="AO78" s="450"/>
      <c r="AP78" s="450" t="e">
        <f>IF(AND('Mapa final'!#REF!="Baja",'Mapa final'!#REF!="Mayor"),CONCATENATE("R",'Mapa final'!#REF!),"")</f>
        <v>#REF!</v>
      </c>
      <c r="AQ78" s="450"/>
      <c r="AR78" s="450" t="str">
        <f>IF(AND('Mapa final'!$K$97="Baja",'Mapa final'!$O$97="Mayor"),CONCATENATE("R",'Mapa final'!$A$97),"")</f>
        <v/>
      </c>
      <c r="AS78" s="450"/>
      <c r="AT78" s="450" t="str">
        <f>IF(AND('Mapa final'!$K$100="Baja",'Mapa final'!$O$100="Mayor"),CONCATENATE("R",'Mapa final'!$A$100),"")</f>
        <v/>
      </c>
      <c r="AU78" s="450"/>
      <c r="AV78" s="450" t="str">
        <f>IF(AND('Mapa final'!$K$103="Baja",'Mapa final'!$O$103="Mayor"),CONCATENATE("R",'Mapa final'!$A$103),"")</f>
        <v/>
      </c>
      <c r="AW78" s="490"/>
      <c r="AX78" s="482" t="str">
        <f>IF(AND('Mapa final'!$K$94="Baja",'Mapa final'!$O$94="Catastrófico"),CONCATENATE("R",'Mapa final'!$A$94),"")</f>
        <v/>
      </c>
      <c r="AY78" s="480"/>
      <c r="AZ78" s="480" t="e">
        <f>IF(AND('Mapa final'!#REF!="Baja",'Mapa final'!#REF!="Catastrófico"),CONCATENATE("R",'Mapa final'!#REF!),"")</f>
        <v>#REF!</v>
      </c>
      <c r="BA78" s="480"/>
      <c r="BB78" s="480" t="str">
        <f>IF(AND('Mapa final'!$K$97="Baja",'Mapa final'!$O$97="Catastrófico"),CONCATENATE("R",'Mapa final'!$A$97),"")</f>
        <v/>
      </c>
      <c r="BC78" s="480"/>
      <c r="BD78" s="480" t="str">
        <f>IF(AND('Mapa final'!$K$100="Baja",'Mapa final'!$O$100="Catastrófico"),CONCATENATE("R",'Mapa final'!$A$100),"")</f>
        <v/>
      </c>
      <c r="BE78" s="480"/>
      <c r="BF78" s="480" t="str">
        <f>IF(AND('Mapa final'!$K$103="Baja",'Mapa final'!$O$103="Catastrófico"),CONCATENATE("R",'Mapa final'!$A$103),"")</f>
        <v/>
      </c>
      <c r="BG78" s="481"/>
      <c r="BH78" s="56"/>
      <c r="BI78" s="531"/>
      <c r="BJ78" s="532"/>
      <c r="BK78" s="532"/>
      <c r="BL78" s="532"/>
      <c r="BM78" s="532"/>
      <c r="BN78" s="533"/>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row>
    <row r="79" spans="1:100" ht="15" customHeight="1" x14ac:dyDescent="0.35">
      <c r="A79" s="56"/>
      <c r="B79" s="307"/>
      <c r="C79" s="307"/>
      <c r="D79" s="308"/>
      <c r="E79" s="468"/>
      <c r="F79" s="469"/>
      <c r="G79" s="469"/>
      <c r="H79" s="469"/>
      <c r="I79" s="474"/>
      <c r="J79" s="451"/>
      <c r="K79" s="452"/>
      <c r="L79" s="452"/>
      <c r="M79" s="452"/>
      <c r="N79" s="452"/>
      <c r="O79" s="452"/>
      <c r="P79" s="452"/>
      <c r="Q79" s="452"/>
      <c r="R79" s="452"/>
      <c r="S79" s="500"/>
      <c r="T79" s="457"/>
      <c r="U79" s="458"/>
      <c r="V79" s="458"/>
      <c r="W79" s="458"/>
      <c r="X79" s="458"/>
      <c r="Y79" s="458"/>
      <c r="Z79" s="458"/>
      <c r="AA79" s="458"/>
      <c r="AB79" s="458"/>
      <c r="AC79" s="461"/>
      <c r="AD79" s="457"/>
      <c r="AE79" s="458"/>
      <c r="AF79" s="458"/>
      <c r="AG79" s="458"/>
      <c r="AH79" s="458"/>
      <c r="AI79" s="458"/>
      <c r="AJ79" s="458"/>
      <c r="AK79" s="458"/>
      <c r="AL79" s="458"/>
      <c r="AM79" s="461"/>
      <c r="AN79" s="491"/>
      <c r="AO79" s="450"/>
      <c r="AP79" s="450"/>
      <c r="AQ79" s="450"/>
      <c r="AR79" s="450"/>
      <c r="AS79" s="450"/>
      <c r="AT79" s="450"/>
      <c r="AU79" s="450"/>
      <c r="AV79" s="450"/>
      <c r="AW79" s="490"/>
      <c r="AX79" s="482"/>
      <c r="AY79" s="480"/>
      <c r="AZ79" s="480"/>
      <c r="BA79" s="480"/>
      <c r="BB79" s="480"/>
      <c r="BC79" s="480"/>
      <c r="BD79" s="480"/>
      <c r="BE79" s="480"/>
      <c r="BF79" s="480"/>
      <c r="BG79" s="481"/>
      <c r="BH79" s="56"/>
      <c r="BI79" s="531"/>
      <c r="BJ79" s="532"/>
      <c r="BK79" s="532"/>
      <c r="BL79" s="532"/>
      <c r="BM79" s="532"/>
      <c r="BN79" s="533"/>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row>
    <row r="80" spans="1:100" ht="15" customHeight="1" x14ac:dyDescent="0.35">
      <c r="A80" s="56"/>
      <c r="B80" s="307"/>
      <c r="C80" s="307"/>
      <c r="D80" s="308"/>
      <c r="E80" s="468"/>
      <c r="F80" s="469"/>
      <c r="G80" s="469"/>
      <c r="H80" s="469"/>
      <c r="I80" s="474"/>
      <c r="J80" s="451" t="str">
        <f>IF(AND('Mapa final'!$K$106="Baja",'Mapa final'!$O$106="Leve"),CONCATENATE("R",'Mapa final'!$A$106),"")</f>
        <v/>
      </c>
      <c r="K80" s="452"/>
      <c r="L80" s="452" t="str">
        <f>IF(AND('Mapa final'!$K$109="Baja",'Mapa final'!$O$109="Leve"),CONCATENATE("R",'Mapa final'!$A$109),"")</f>
        <v/>
      </c>
      <c r="M80" s="452"/>
      <c r="N80" s="452" t="str">
        <f>IF(AND('Mapa final'!$K$112="Baja",'Mapa final'!$O$112="Leve"),CONCATENATE("R",'Mapa final'!$A$112),"")</f>
        <v/>
      </c>
      <c r="O80" s="452"/>
      <c r="P80" s="452" t="str">
        <f>IF(AND('Mapa final'!$K$115="Baja",'Mapa final'!$O$115="Leve"),CONCATENATE("R",'Mapa final'!$A$115),"")</f>
        <v/>
      </c>
      <c r="Q80" s="452"/>
      <c r="R80" s="452" t="str">
        <f>IF(AND('Mapa final'!$K$118="Baja",'Mapa final'!$O$118="Leve"),CONCATENATE("R",'Mapa final'!$A$118),"")</f>
        <v/>
      </c>
      <c r="S80" s="500"/>
      <c r="T80" s="457" t="str">
        <f>IF(AND('Mapa final'!$K$106="Baja",'Mapa final'!$O$106="Menor"),CONCATENATE("R",'Mapa final'!$A$106),"")</f>
        <v/>
      </c>
      <c r="U80" s="458"/>
      <c r="V80" s="458" t="str">
        <f>IF(AND('Mapa final'!$K$109="Baja",'Mapa final'!$O$109="Menor"),CONCATENATE("R",'Mapa final'!$A$109),"")</f>
        <v/>
      </c>
      <c r="W80" s="458"/>
      <c r="X80" s="458" t="str">
        <f>IF(AND('Mapa final'!$K$112="Baja",'Mapa final'!$O$112="Menor"),CONCATENATE("R",'Mapa final'!$A$112),"")</f>
        <v>R37</v>
      </c>
      <c r="Y80" s="458"/>
      <c r="Z80" s="458" t="str">
        <f>IF(AND('Mapa final'!$K$115="Baja",'Mapa final'!$O$115="Menor"),CONCATENATE("R",'Mapa final'!$A$115),"")</f>
        <v/>
      </c>
      <c r="AA80" s="458"/>
      <c r="AB80" s="458" t="str">
        <f>IF(AND('Mapa final'!$K$118="Baja",'Mapa final'!$O$118="Menor"),CONCATENATE("R",'Mapa final'!$A$118),"")</f>
        <v/>
      </c>
      <c r="AC80" s="461"/>
      <c r="AD80" s="457" t="str">
        <f>IF(AND('Mapa final'!$K$106="Baja",'Mapa final'!$O$106="Moderado"),CONCATENATE("R",'Mapa final'!$A$106),"")</f>
        <v/>
      </c>
      <c r="AE80" s="458"/>
      <c r="AF80" s="458" t="str">
        <f>IF(AND('Mapa final'!$K$109="Baja",'Mapa final'!$O$109="Moderado"),CONCATENATE("R",'Mapa final'!$A$109),"")</f>
        <v/>
      </c>
      <c r="AG80" s="458"/>
      <c r="AH80" s="458" t="str">
        <f>IF(AND('Mapa final'!$K$112="Baja",'Mapa final'!$O$112="Moderado"),CONCATENATE("R",'Mapa final'!$A$112),"")</f>
        <v/>
      </c>
      <c r="AI80" s="458"/>
      <c r="AJ80" s="458" t="str">
        <f>IF(AND('Mapa final'!$K$115="Baja",'Mapa final'!$O$115="Moderado"),CONCATENATE("R",'Mapa final'!$A$115),"")</f>
        <v/>
      </c>
      <c r="AK80" s="458"/>
      <c r="AL80" s="458" t="str">
        <f>IF(AND('Mapa final'!$K$118="Baja",'Mapa final'!$O$118="Moderado"),CONCATENATE("R",'Mapa final'!$A$118),"")</f>
        <v/>
      </c>
      <c r="AM80" s="461"/>
      <c r="AN80" s="491" t="str">
        <f>IF(AND('Mapa final'!$K$106="Baja",'Mapa final'!$O$106="Mayor"),CONCATENATE("R",'Mapa final'!$A$106),"")</f>
        <v/>
      </c>
      <c r="AO80" s="450"/>
      <c r="AP80" s="450" t="str">
        <f>IF(AND('Mapa final'!$K$109="Baja",'Mapa final'!$O$109="Mayor"),CONCATENATE("R",'Mapa final'!$A$109),"")</f>
        <v/>
      </c>
      <c r="AQ80" s="450"/>
      <c r="AR80" s="450" t="str">
        <f>IF(AND('Mapa final'!$K$112="Baja",'Mapa final'!$O$112="Mayor"),CONCATENATE("R",'Mapa final'!$A$112),"")</f>
        <v/>
      </c>
      <c r="AS80" s="450"/>
      <c r="AT80" s="450" t="str">
        <f>IF(AND('Mapa final'!$K$115="Baja",'Mapa final'!$O$115="Mayor"),CONCATENATE("R",'Mapa final'!$A$115),"")</f>
        <v/>
      </c>
      <c r="AU80" s="450"/>
      <c r="AV80" s="450" t="str">
        <f>IF(AND('Mapa final'!$K$118="Baja",'Mapa final'!$O$118="Mayor"),CONCATENATE("R",'Mapa final'!$A$118),"")</f>
        <v/>
      </c>
      <c r="AW80" s="490"/>
      <c r="AX80" s="482" t="str">
        <f>IF(AND('Mapa final'!$K$106="Baja",'Mapa final'!$O$106="Catastrófico"),CONCATENATE("R",'Mapa final'!$A$106),"")</f>
        <v/>
      </c>
      <c r="AY80" s="480"/>
      <c r="AZ80" s="480" t="str">
        <f>IF(AND('Mapa final'!$K$109="Baja",'Mapa final'!$O$109="Catastrófico"),CONCATENATE("R",'Mapa final'!$A$109),"")</f>
        <v/>
      </c>
      <c r="BA80" s="480"/>
      <c r="BB80" s="480" t="str">
        <f>IF(AND('Mapa final'!$K$112="Baja",'Mapa final'!$O$112="Catastrófico"),CONCATENATE("R",'Mapa final'!$A$112),"")</f>
        <v/>
      </c>
      <c r="BC80" s="480"/>
      <c r="BD80" s="480" t="str">
        <f>IF(AND('Mapa final'!$K$115="Baja",'Mapa final'!$O$115="Catastrófico"),CONCATENATE("R",'Mapa final'!$A$115),"")</f>
        <v/>
      </c>
      <c r="BE80" s="480"/>
      <c r="BF80" s="480" t="str">
        <f>IF(AND('Mapa final'!$K$118="Baja",'Mapa final'!$O$118="Catastrófico"),CONCATENATE("R",'Mapa final'!$A$118),"")</f>
        <v/>
      </c>
      <c r="BG80" s="481"/>
      <c r="BH80" s="56"/>
      <c r="BI80" s="531"/>
      <c r="BJ80" s="532"/>
      <c r="BK80" s="532"/>
      <c r="BL80" s="532"/>
      <c r="BM80" s="532"/>
      <c r="BN80" s="533"/>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row>
    <row r="81" spans="1:100" ht="15" customHeight="1" x14ac:dyDescent="0.35">
      <c r="A81" s="56"/>
      <c r="B81" s="307"/>
      <c r="C81" s="307"/>
      <c r="D81" s="308"/>
      <c r="E81" s="468"/>
      <c r="F81" s="469"/>
      <c r="G81" s="469"/>
      <c r="H81" s="469"/>
      <c r="I81" s="474"/>
      <c r="J81" s="451"/>
      <c r="K81" s="452"/>
      <c r="L81" s="452"/>
      <c r="M81" s="452"/>
      <c r="N81" s="452"/>
      <c r="O81" s="452"/>
      <c r="P81" s="452"/>
      <c r="Q81" s="452"/>
      <c r="R81" s="452"/>
      <c r="S81" s="500"/>
      <c r="T81" s="457"/>
      <c r="U81" s="458"/>
      <c r="V81" s="458"/>
      <c r="W81" s="458"/>
      <c r="X81" s="458"/>
      <c r="Y81" s="458"/>
      <c r="Z81" s="458"/>
      <c r="AA81" s="458"/>
      <c r="AB81" s="458"/>
      <c r="AC81" s="461"/>
      <c r="AD81" s="457"/>
      <c r="AE81" s="458"/>
      <c r="AF81" s="458"/>
      <c r="AG81" s="458"/>
      <c r="AH81" s="458"/>
      <c r="AI81" s="458"/>
      <c r="AJ81" s="458"/>
      <c r="AK81" s="458"/>
      <c r="AL81" s="458"/>
      <c r="AM81" s="461"/>
      <c r="AN81" s="491"/>
      <c r="AO81" s="450"/>
      <c r="AP81" s="450"/>
      <c r="AQ81" s="450"/>
      <c r="AR81" s="450"/>
      <c r="AS81" s="450"/>
      <c r="AT81" s="450"/>
      <c r="AU81" s="450"/>
      <c r="AV81" s="450"/>
      <c r="AW81" s="490"/>
      <c r="AX81" s="482"/>
      <c r="AY81" s="480"/>
      <c r="AZ81" s="480"/>
      <c r="BA81" s="480"/>
      <c r="BB81" s="480"/>
      <c r="BC81" s="480"/>
      <c r="BD81" s="480"/>
      <c r="BE81" s="480"/>
      <c r="BF81" s="480"/>
      <c r="BG81" s="481"/>
      <c r="BH81" s="56"/>
      <c r="BI81" s="531"/>
      <c r="BJ81" s="532"/>
      <c r="BK81" s="532"/>
      <c r="BL81" s="532"/>
      <c r="BM81" s="532"/>
      <c r="BN81" s="533"/>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row>
    <row r="82" spans="1:100" ht="15" customHeight="1" x14ac:dyDescent="0.35">
      <c r="A82" s="56"/>
      <c r="B82" s="307"/>
      <c r="C82" s="307"/>
      <c r="D82" s="308"/>
      <c r="E82" s="468"/>
      <c r="F82" s="469"/>
      <c r="G82" s="469"/>
      <c r="H82" s="469"/>
      <c r="I82" s="474"/>
      <c r="J82" s="451" t="str">
        <f>IF(AND('Mapa final'!$K$121="Baja",'Mapa final'!$O$121="Leve"),CONCATENATE("R",'Mapa final'!$A$121),"")</f>
        <v/>
      </c>
      <c r="K82" s="452"/>
      <c r="L82" s="452" t="str">
        <f>IF(AND('Mapa final'!$K$124="Baja",'Mapa final'!$O$124="Leve"),CONCATENATE("R",'Mapa final'!$A$124),"")</f>
        <v/>
      </c>
      <c r="M82" s="452"/>
      <c r="N82" s="452" t="str">
        <f>IF(AND('Mapa final'!$K$127="Baja",'Mapa final'!$O$127="Leve"),CONCATENATE("R",'Mapa final'!$A$127),"")</f>
        <v/>
      </c>
      <c r="O82" s="452"/>
      <c r="P82" s="452" t="str">
        <f>IF(AND('Mapa final'!$K$130="Baja",'Mapa final'!$O$130="Leve"),CONCATENATE("R",'Mapa final'!$A$130),"")</f>
        <v/>
      </c>
      <c r="Q82" s="452"/>
      <c r="R82" s="452" t="str">
        <f>IF(AND('Mapa final'!$K$133="Baja",'Mapa final'!$O$133="Leve"),CONCATENATE("R",'Mapa final'!$A$133),"")</f>
        <v/>
      </c>
      <c r="S82" s="500"/>
      <c r="T82" s="457" t="str">
        <f>IF(AND('Mapa final'!$K$121="Baja",'Mapa final'!$O$121="Menor"),CONCATENATE("R",'Mapa final'!$A$121),"")</f>
        <v/>
      </c>
      <c r="U82" s="458"/>
      <c r="V82" s="458" t="str">
        <f>IF(AND('Mapa final'!$K$124="Baja",'Mapa final'!$O$124="Menor"),CONCATENATE("R",'Mapa final'!$A$124),"")</f>
        <v/>
      </c>
      <c r="W82" s="458"/>
      <c r="X82" s="458" t="str">
        <f>IF(AND('Mapa final'!$K$127="Baja",'Mapa final'!$O$127="Menor"),CONCATENATE("R",'Mapa final'!$A$127),"")</f>
        <v/>
      </c>
      <c r="Y82" s="458"/>
      <c r="Z82" s="458" t="str">
        <f>IF(AND('Mapa final'!$K$130="Baja",'Mapa final'!$O$130="Menor"),CONCATENATE("R",'Mapa final'!$A$130),"")</f>
        <v/>
      </c>
      <c r="AA82" s="458"/>
      <c r="AB82" s="458" t="str">
        <f>IF(AND('Mapa final'!$K$133="Baja",'Mapa final'!$O$133="Menor"),CONCATENATE("R",'Mapa final'!$A$133),"")</f>
        <v/>
      </c>
      <c r="AC82" s="461"/>
      <c r="AD82" s="457" t="str">
        <f>IF(AND('Mapa final'!$K$121="Baja",'Mapa final'!$O$121="Moderado"),CONCATENATE("R",'Mapa final'!$A$121),"")</f>
        <v/>
      </c>
      <c r="AE82" s="458"/>
      <c r="AF82" s="458" t="str">
        <f>IF(AND('Mapa final'!$K$124="Baja",'Mapa final'!$O$124="Moderado"),CONCATENATE("R",'Mapa final'!$A$124),"")</f>
        <v>R41</v>
      </c>
      <c r="AG82" s="458"/>
      <c r="AH82" s="458" t="str">
        <f>IF(AND('Mapa final'!$K$127="Baja",'Mapa final'!$O$127="Moderado"),CONCATENATE("R",'Mapa final'!$A$127),"")</f>
        <v/>
      </c>
      <c r="AI82" s="458"/>
      <c r="AJ82" s="458" t="str">
        <f>IF(AND('Mapa final'!$K$130="Baja",'Mapa final'!$O$130="Moderado"),CONCATENATE("R",'Mapa final'!$A$130),"")</f>
        <v/>
      </c>
      <c r="AK82" s="458"/>
      <c r="AL82" s="458" t="str">
        <f>IF(AND('Mapa final'!$K$133="Baja",'Mapa final'!$O$133="Moderado"),CONCATENATE("R",'Mapa final'!$A$133),"")</f>
        <v/>
      </c>
      <c r="AM82" s="461"/>
      <c r="AN82" s="491" t="str">
        <f>IF(AND('Mapa final'!$K$121="Baja",'Mapa final'!$O$121="Mayor"),CONCATENATE("R",'Mapa final'!$A$121),"")</f>
        <v/>
      </c>
      <c r="AO82" s="450"/>
      <c r="AP82" s="450" t="str">
        <f>IF(AND('Mapa final'!$K$124="Baja",'Mapa final'!$O$124="Mayor"),CONCATENATE("R",'Mapa final'!$A$124),"")</f>
        <v/>
      </c>
      <c r="AQ82" s="450"/>
      <c r="AR82" s="450" t="str">
        <f>IF(AND('Mapa final'!$K$127="Baja",'Mapa final'!$O$127="Mayor"),CONCATENATE("R",'Mapa final'!$A$127),"")</f>
        <v/>
      </c>
      <c r="AS82" s="450"/>
      <c r="AT82" s="450" t="str">
        <f>IF(AND('Mapa final'!$K$130="Baja",'Mapa final'!$O$130="Mayor"),CONCATENATE("R",'Mapa final'!$A$130),"")</f>
        <v/>
      </c>
      <c r="AU82" s="450"/>
      <c r="AV82" s="450" t="str">
        <f>IF(AND('Mapa final'!$K$133="Baja",'Mapa final'!$O$133="Mayor"),CONCATENATE("R",'Mapa final'!$A$133),"")</f>
        <v/>
      </c>
      <c r="AW82" s="490"/>
      <c r="AX82" s="482" t="str">
        <f>IF(AND('Mapa final'!$K$121="Baja",'Mapa final'!$O$121="Catastrófico"),CONCATENATE("R",'Mapa final'!$A$121),"")</f>
        <v/>
      </c>
      <c r="AY82" s="480"/>
      <c r="AZ82" s="480" t="str">
        <f>IF(AND('Mapa final'!$K$124="Baja",'Mapa final'!$O$124="Catastrófico"),CONCATENATE("R",'Mapa final'!$A$124),"")</f>
        <v/>
      </c>
      <c r="BA82" s="480"/>
      <c r="BB82" s="480" t="str">
        <f>IF(AND('Mapa final'!$K$127="Baja",'Mapa final'!$O$127="Catastrófico"),CONCATENATE("R",'Mapa final'!$A$127),"")</f>
        <v/>
      </c>
      <c r="BC82" s="480"/>
      <c r="BD82" s="480" t="str">
        <f>IF(AND('Mapa final'!$K$130="Baja",'Mapa final'!$O$130="Catastrófico"),CONCATENATE("R",'Mapa final'!$A$130),"")</f>
        <v/>
      </c>
      <c r="BE82" s="480"/>
      <c r="BF82" s="480" t="str">
        <f>IF(AND('Mapa final'!$K$133="Baja",'Mapa final'!$O$133="Catastrófico"),CONCATENATE("R",'Mapa final'!$A$133),"")</f>
        <v/>
      </c>
      <c r="BG82" s="481"/>
      <c r="BH82" s="56"/>
      <c r="BI82" s="531"/>
      <c r="BJ82" s="532"/>
      <c r="BK82" s="532"/>
      <c r="BL82" s="532"/>
      <c r="BM82" s="532"/>
      <c r="BN82" s="533"/>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row>
    <row r="83" spans="1:100" ht="15" customHeight="1" x14ac:dyDescent="0.35">
      <c r="A83" s="56"/>
      <c r="B83" s="307"/>
      <c r="C83" s="307"/>
      <c r="D83" s="308"/>
      <c r="E83" s="468"/>
      <c r="F83" s="469"/>
      <c r="G83" s="469"/>
      <c r="H83" s="469"/>
      <c r="I83" s="474"/>
      <c r="J83" s="451"/>
      <c r="K83" s="452"/>
      <c r="L83" s="452"/>
      <c r="M83" s="452"/>
      <c r="N83" s="452"/>
      <c r="O83" s="452"/>
      <c r="P83" s="452"/>
      <c r="Q83" s="452"/>
      <c r="R83" s="452"/>
      <c r="S83" s="500"/>
      <c r="T83" s="457"/>
      <c r="U83" s="458"/>
      <c r="V83" s="458"/>
      <c r="W83" s="458"/>
      <c r="X83" s="458"/>
      <c r="Y83" s="458"/>
      <c r="Z83" s="458"/>
      <c r="AA83" s="458"/>
      <c r="AB83" s="458"/>
      <c r="AC83" s="461"/>
      <c r="AD83" s="457"/>
      <c r="AE83" s="458"/>
      <c r="AF83" s="458"/>
      <c r="AG83" s="458"/>
      <c r="AH83" s="458"/>
      <c r="AI83" s="458"/>
      <c r="AJ83" s="458"/>
      <c r="AK83" s="458"/>
      <c r="AL83" s="458"/>
      <c r="AM83" s="461"/>
      <c r="AN83" s="491"/>
      <c r="AO83" s="450"/>
      <c r="AP83" s="450"/>
      <c r="AQ83" s="450"/>
      <c r="AR83" s="450"/>
      <c r="AS83" s="450"/>
      <c r="AT83" s="450"/>
      <c r="AU83" s="450"/>
      <c r="AV83" s="450"/>
      <c r="AW83" s="490"/>
      <c r="AX83" s="482"/>
      <c r="AY83" s="480"/>
      <c r="AZ83" s="480"/>
      <c r="BA83" s="480"/>
      <c r="BB83" s="480"/>
      <c r="BC83" s="480"/>
      <c r="BD83" s="480"/>
      <c r="BE83" s="480"/>
      <c r="BF83" s="480"/>
      <c r="BG83" s="481"/>
      <c r="BH83" s="56"/>
      <c r="BI83" s="531"/>
      <c r="BJ83" s="532"/>
      <c r="BK83" s="532"/>
      <c r="BL83" s="532"/>
      <c r="BM83" s="532"/>
      <c r="BN83" s="533"/>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row>
    <row r="84" spans="1:100" ht="15" customHeight="1" x14ac:dyDescent="0.35">
      <c r="A84" s="56"/>
      <c r="B84" s="307"/>
      <c r="C84" s="307"/>
      <c r="D84" s="308"/>
      <c r="E84" s="468"/>
      <c r="F84" s="469"/>
      <c r="G84" s="469"/>
      <c r="H84" s="469"/>
      <c r="I84" s="474"/>
      <c r="J84" s="451" t="str">
        <f>IF(AND('Mapa final'!$K$136="Baja",'Mapa final'!$O$136="Leve"),CONCATENATE("R",'Mapa final'!$A$136),"")</f>
        <v/>
      </c>
      <c r="K84" s="452"/>
      <c r="L84" s="452" t="str">
        <f>IF(AND('Mapa final'!$K$139="Baja",'Mapa final'!$O$139="Leve"),CONCATENATE("R",'Mapa final'!$A$139),"")</f>
        <v/>
      </c>
      <c r="M84" s="452"/>
      <c r="N84" s="452" t="str">
        <f>IF(AND('Mapa final'!$K$142="Baja",'Mapa final'!$O$142="Leve"),CONCATENATE("R",'Mapa final'!$A$142),"")</f>
        <v/>
      </c>
      <c r="O84" s="452"/>
      <c r="P84" s="452" t="str">
        <f>IF(AND('Mapa final'!$K$145="Baja",'Mapa final'!$O$145="Leve"),CONCATENATE("R",'Mapa final'!$A$145),"")</f>
        <v/>
      </c>
      <c r="Q84" s="452"/>
      <c r="R84" s="452" t="str">
        <f>IF(AND('Mapa final'!$K$148="Baja",'Mapa final'!$O$148="Leve"),CONCATENATE("R",'Mapa final'!$A$148),"")</f>
        <v/>
      </c>
      <c r="S84" s="500"/>
      <c r="T84" s="457" t="str">
        <f>IF(AND('Mapa final'!$K$136="Baja",'Mapa final'!$O$136="Menor"),CONCATENATE("R",'Mapa final'!$A$136),"")</f>
        <v/>
      </c>
      <c r="U84" s="458"/>
      <c r="V84" s="458" t="str">
        <f>IF(AND('Mapa final'!$K$139="Baja",'Mapa final'!$O$139="Menor"),CONCATENATE("R",'Mapa final'!$A$139),"")</f>
        <v/>
      </c>
      <c r="W84" s="458"/>
      <c r="X84" s="458" t="str">
        <f>IF(AND('Mapa final'!$K$142="Baja",'Mapa final'!$O$142="Menor"),CONCATENATE("R",'Mapa final'!$A$142),"")</f>
        <v/>
      </c>
      <c r="Y84" s="458"/>
      <c r="Z84" s="458" t="str">
        <f>IF(AND('Mapa final'!$K$145="Baja",'Mapa final'!$O$145="Menor"),CONCATENATE("R",'Mapa final'!$A$145),"")</f>
        <v/>
      </c>
      <c r="AA84" s="458"/>
      <c r="AB84" s="458" t="str">
        <f>IF(AND('Mapa final'!$K$148="Baja",'Mapa final'!$O$148="Menor"),CONCATENATE("R",'Mapa final'!$A$148),"")</f>
        <v/>
      </c>
      <c r="AC84" s="461"/>
      <c r="AD84" s="457" t="str">
        <f>IF(AND('Mapa final'!$K$136="Baja",'Mapa final'!$O$136="Moderado"),CONCATENATE("R",'Mapa final'!$A$136),"")</f>
        <v/>
      </c>
      <c r="AE84" s="458"/>
      <c r="AF84" s="458" t="str">
        <f>IF(AND('Mapa final'!$K$139="Baja",'Mapa final'!$O$139="Moderado"),CONCATENATE("R",'Mapa final'!$A$139),"")</f>
        <v>R46</v>
      </c>
      <c r="AG84" s="458"/>
      <c r="AH84" s="458" t="str">
        <f>IF(AND('Mapa final'!$K$142="Baja",'Mapa final'!$O$142="Moderado"),CONCATENATE("R",'Mapa final'!$A$142),"")</f>
        <v>R</v>
      </c>
      <c r="AI84" s="458"/>
      <c r="AJ84" s="458" t="str">
        <f>IF(AND('Mapa final'!$K$145="Baja",'Mapa final'!$O$145="Moderado"),CONCATENATE("R",'Mapa final'!$A$145),"")</f>
        <v/>
      </c>
      <c r="AK84" s="458"/>
      <c r="AL84" s="458" t="str">
        <f>IF(AND('Mapa final'!$K$148="Baja",'Mapa final'!$O$148="Moderado"),CONCATENATE("R",'Mapa final'!$A$148),"")</f>
        <v/>
      </c>
      <c r="AM84" s="461"/>
      <c r="AN84" s="491" t="str">
        <f>IF(AND('Mapa final'!$K$136="Baja",'Mapa final'!$O$136="Mayor"),CONCATENATE("R",'Mapa final'!$A$136),"")</f>
        <v>R45</v>
      </c>
      <c r="AO84" s="450"/>
      <c r="AP84" s="450" t="str">
        <f>IF(AND('Mapa final'!$K$139="Baja",'Mapa final'!$O$139="Mayor"),CONCATENATE("R",'Mapa final'!$A$139),"")</f>
        <v/>
      </c>
      <c r="AQ84" s="450"/>
      <c r="AR84" s="450" t="str">
        <f>IF(AND('Mapa final'!$K$142="Baja",'Mapa final'!$O$142="Mayor"),CONCATENATE("R",'Mapa final'!$A$142),"")</f>
        <v/>
      </c>
      <c r="AS84" s="450"/>
      <c r="AT84" s="450" t="str">
        <f>IF(AND('Mapa final'!$K$145="Baja",'Mapa final'!$O$145="Mayor"),CONCATENATE("R",'Mapa final'!$A$145),"")</f>
        <v/>
      </c>
      <c r="AU84" s="450"/>
      <c r="AV84" s="450" t="str">
        <f>IF(AND('Mapa final'!$K$148="Baja",'Mapa final'!$O$148="Mayor"),CONCATENATE("R",'Mapa final'!$A$148),"")</f>
        <v/>
      </c>
      <c r="AW84" s="490"/>
      <c r="AX84" s="482" t="str">
        <f>IF(AND('Mapa final'!$K$136="Baja",'Mapa final'!$O$136="Catastrófico"),CONCATENATE("R",'Mapa final'!$A$136),"")</f>
        <v/>
      </c>
      <c r="AY84" s="480"/>
      <c r="AZ84" s="480" t="str">
        <f>IF(AND('Mapa final'!$K$139="Baja",'Mapa final'!$O$139="Catastrófico"),CONCATENATE("R",'Mapa final'!$A$139),"")</f>
        <v/>
      </c>
      <c r="BA84" s="480"/>
      <c r="BB84" s="480" t="str">
        <f>IF(AND('Mapa final'!$K$142="Baja",'Mapa final'!$O$142="Catastrófico"),CONCATENATE("R",'Mapa final'!$A$142),"")</f>
        <v/>
      </c>
      <c r="BC84" s="480"/>
      <c r="BD84" s="480" t="str">
        <f>IF(AND('Mapa final'!$K$145="Baja",'Mapa final'!$O$145="Catastrófico"),CONCATENATE("R",'Mapa final'!$A$145),"")</f>
        <v/>
      </c>
      <c r="BE84" s="480"/>
      <c r="BF84" s="480" t="str">
        <f>IF(AND('Mapa final'!$K$148="Baja",'Mapa final'!$O$148="Catastrófico"),CONCATENATE("R",'Mapa final'!$A$148),"")</f>
        <v/>
      </c>
      <c r="BG84" s="481"/>
      <c r="BH84" s="56"/>
      <c r="BI84" s="531"/>
      <c r="BJ84" s="532"/>
      <c r="BK84" s="532"/>
      <c r="BL84" s="532"/>
      <c r="BM84" s="532"/>
      <c r="BN84" s="533"/>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row>
    <row r="85" spans="1:100" ht="15.75" customHeight="1" thickBot="1" x14ac:dyDescent="0.4">
      <c r="A85" s="56"/>
      <c r="B85" s="307"/>
      <c r="C85" s="307"/>
      <c r="D85" s="308"/>
      <c r="E85" s="471"/>
      <c r="F85" s="472"/>
      <c r="G85" s="472"/>
      <c r="H85" s="472"/>
      <c r="I85" s="472"/>
      <c r="J85" s="453"/>
      <c r="K85" s="454"/>
      <c r="L85" s="454"/>
      <c r="M85" s="454"/>
      <c r="N85" s="454"/>
      <c r="O85" s="454"/>
      <c r="P85" s="454"/>
      <c r="Q85" s="454"/>
      <c r="R85" s="454"/>
      <c r="S85" s="537"/>
      <c r="T85" s="459"/>
      <c r="U85" s="460"/>
      <c r="V85" s="460"/>
      <c r="W85" s="460"/>
      <c r="X85" s="460"/>
      <c r="Y85" s="460"/>
      <c r="Z85" s="460"/>
      <c r="AA85" s="460"/>
      <c r="AB85" s="460"/>
      <c r="AC85" s="462"/>
      <c r="AD85" s="459"/>
      <c r="AE85" s="460"/>
      <c r="AF85" s="460"/>
      <c r="AG85" s="460"/>
      <c r="AH85" s="460"/>
      <c r="AI85" s="460"/>
      <c r="AJ85" s="460"/>
      <c r="AK85" s="460"/>
      <c r="AL85" s="460"/>
      <c r="AM85" s="462"/>
      <c r="AN85" s="492"/>
      <c r="AO85" s="489"/>
      <c r="AP85" s="489"/>
      <c r="AQ85" s="489"/>
      <c r="AR85" s="489"/>
      <c r="AS85" s="489"/>
      <c r="AT85" s="489"/>
      <c r="AU85" s="489"/>
      <c r="AV85" s="489"/>
      <c r="AW85" s="493"/>
      <c r="AX85" s="483"/>
      <c r="AY85" s="484"/>
      <c r="AZ85" s="484"/>
      <c r="BA85" s="484"/>
      <c r="BB85" s="484"/>
      <c r="BC85" s="484"/>
      <c r="BD85" s="484"/>
      <c r="BE85" s="484"/>
      <c r="BF85" s="484"/>
      <c r="BG85" s="485"/>
      <c r="BH85" s="56"/>
      <c r="BI85" s="531"/>
      <c r="BJ85" s="532"/>
      <c r="BK85" s="532"/>
      <c r="BL85" s="532"/>
      <c r="BM85" s="532"/>
      <c r="BN85" s="533"/>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row>
    <row r="86" spans="1:100" ht="15" customHeight="1" x14ac:dyDescent="0.35">
      <c r="A86" s="56"/>
      <c r="B86" s="307"/>
      <c r="C86" s="307"/>
      <c r="D86" s="308"/>
      <c r="E86" s="465" t="s">
        <v>104</v>
      </c>
      <c r="F86" s="466"/>
      <c r="G86" s="466"/>
      <c r="H86" s="466"/>
      <c r="I86" s="467"/>
      <c r="J86" s="455" t="str">
        <f>IF(AND('Mapa final'!$K$7="Muy Baja",'Mapa final'!$O$7="Leve"),CONCATENATE("R",'Mapa final'!$A$7),"")</f>
        <v/>
      </c>
      <c r="K86" s="456"/>
      <c r="L86" s="456" t="str">
        <f>IF(AND('Mapa final'!$K$10="Muy Baja",'Mapa final'!$O$10="Leve"),CONCATENATE("R",'Mapa final'!$A$10),"")</f>
        <v/>
      </c>
      <c r="M86" s="456"/>
      <c r="N86" s="456" t="str">
        <f>IF(AND('Mapa final'!$K$13="Muy Baja",'Mapa final'!$O$13="Leve"),CONCATENATE("R",'Mapa final'!$A$13),"")</f>
        <v/>
      </c>
      <c r="O86" s="456"/>
      <c r="P86" s="456" t="e">
        <f>IF(AND('Mapa final'!#REF!="Muy Baja",'Mapa final'!#REF!="Leve"),CONCATENATE("R",'Mapa final'!#REF!),"")</f>
        <v>#REF!</v>
      </c>
      <c r="Q86" s="456"/>
      <c r="R86" s="456" t="e">
        <f>IF(AND('Mapa final'!#REF!="Muy Baja",'Mapa final'!#REF!="Leve"),CONCATENATE("R",'Mapa final'!#REF!),"")</f>
        <v>#REF!</v>
      </c>
      <c r="S86" s="499"/>
      <c r="T86" s="455" t="str">
        <f>IF(AND('Mapa final'!$K$7="Muy Baja",'Mapa final'!$O$7="Menor"),CONCATENATE("R",'Mapa final'!$A$7),"")</f>
        <v/>
      </c>
      <c r="U86" s="456"/>
      <c r="V86" s="456" t="str">
        <f>IF(AND('Mapa final'!$K$10="Muy Baja",'Mapa final'!$O$10="Menor"),CONCATENATE("R",'Mapa final'!$A$10),"")</f>
        <v/>
      </c>
      <c r="W86" s="456"/>
      <c r="X86" s="456" t="str">
        <f>IF(AND('Mapa final'!$K$13="Muy Baja",'Mapa final'!$O$13="Menor"),CONCATENATE("R",'Mapa final'!$A$13),"")</f>
        <v/>
      </c>
      <c r="Y86" s="456"/>
      <c r="Z86" s="456" t="e">
        <f>IF(AND('Mapa final'!#REF!="Muy Baja",'Mapa final'!#REF!="Menor"),CONCATENATE("R",'Mapa final'!#REF!),"")</f>
        <v>#REF!</v>
      </c>
      <c r="AA86" s="456"/>
      <c r="AB86" s="456" t="e">
        <f>IF(AND('Mapa final'!#REF!="Muy Baja",'Mapa final'!#REF!="Menor"),CONCATENATE("R",'Mapa final'!#REF!),"")</f>
        <v>#REF!</v>
      </c>
      <c r="AC86" s="499"/>
      <c r="AD86" s="478" t="str">
        <f>IF(AND('Mapa final'!$K$7="Muy Baja",'Mapa final'!$O$7="Moderado"),CONCATENATE("R",'Mapa final'!$A$7),"")</f>
        <v/>
      </c>
      <c r="AE86" s="463"/>
      <c r="AF86" s="463" t="str">
        <f>IF(AND('Mapa final'!$K$10="Muy Baja",'Mapa final'!$O$10="Moderado"),CONCATENATE("R",'Mapa final'!$A$10),"")</f>
        <v/>
      </c>
      <c r="AG86" s="463"/>
      <c r="AH86" s="463" t="str">
        <f>IF(AND('Mapa final'!$K$13="Muy Baja",'Mapa final'!$O$13="Moderado"),CONCATENATE("R",'Mapa final'!$A$13),"")</f>
        <v/>
      </c>
      <c r="AI86" s="463"/>
      <c r="AJ86" s="463" t="e">
        <f>IF(AND('Mapa final'!#REF!="Muy Baja",'Mapa final'!#REF!="Moderado"),CONCATENATE("R",'Mapa final'!#REF!),"")</f>
        <v>#REF!</v>
      </c>
      <c r="AK86" s="463"/>
      <c r="AL86" s="463" t="e">
        <f>IF(AND('Mapa final'!#REF!="Muy Baja",'Mapa final'!#REF!="Moderado"),CONCATENATE("R",'Mapa final'!#REF!),"")</f>
        <v>#REF!</v>
      </c>
      <c r="AM86" s="479"/>
      <c r="AN86" s="494" t="str">
        <f>IF(AND('Mapa final'!$K$7="Muy Baja",'Mapa final'!$O$7="Mayor"),CONCATENATE("R",'Mapa final'!$A$7),"")</f>
        <v/>
      </c>
      <c r="AO86" s="495"/>
      <c r="AP86" s="495" t="str">
        <f>IF(AND('Mapa final'!$K$10="Muy Baja",'Mapa final'!$O$10="Mayor"),CONCATENATE("R",'Mapa final'!$A$10),"")</f>
        <v/>
      </c>
      <c r="AQ86" s="495"/>
      <c r="AR86" s="495" t="str">
        <f>IF(AND('Mapa final'!$K$13="Muy Baja",'Mapa final'!$O$13="Mayor"),CONCATENATE("R",'Mapa final'!$A$13),"")</f>
        <v/>
      </c>
      <c r="AS86" s="495"/>
      <c r="AT86" s="495" t="e">
        <f>IF(AND('Mapa final'!#REF!="Muy Baja",'Mapa final'!#REF!="Mayor"),CONCATENATE("R",'Mapa final'!#REF!),"")</f>
        <v>#REF!</v>
      </c>
      <c r="AU86" s="495"/>
      <c r="AV86" s="495" t="e">
        <f>IF(AND('Mapa final'!#REF!="Muy Baja",'Mapa final'!#REF!="Mayor"),CONCATENATE("R",'Mapa final'!#REF!),"")</f>
        <v>#REF!</v>
      </c>
      <c r="AW86" s="496"/>
      <c r="AX86" s="486" t="str">
        <f>IF(AND('Mapa final'!$K$7="Muy Baja",'Mapa final'!$O$7="Catastrófico"),CONCATENATE("R",'Mapa final'!$A$7),"")</f>
        <v/>
      </c>
      <c r="AY86" s="487"/>
      <c r="AZ86" s="487" t="str">
        <f>IF(AND('Mapa final'!$K$10="Muy Baja",'Mapa final'!$O$10="Catastrófico"),CONCATENATE("R",'Mapa final'!$A$10),"")</f>
        <v/>
      </c>
      <c r="BA86" s="487"/>
      <c r="BB86" s="487" t="str">
        <f>IF(AND('Mapa final'!$K$13="Muy Baja",'Mapa final'!$O$13="Catastrófico"),CONCATENATE("R",'Mapa final'!$A$13),"")</f>
        <v/>
      </c>
      <c r="BC86" s="487"/>
      <c r="BD86" s="487" t="e">
        <f>IF(AND('Mapa final'!#REF!="Muy Baja",'Mapa final'!#REF!="Catastrófico"),CONCATENATE("R",'Mapa final'!#REF!),"")</f>
        <v>#REF!</v>
      </c>
      <c r="BE86" s="487"/>
      <c r="BF86" s="487" t="e">
        <f>IF(AND('Mapa final'!#REF!="Muy Baja",'Mapa final'!#REF!="Catastrófico"),CONCATENATE("R",'Mapa final'!#REF!),"")</f>
        <v>#REF!</v>
      </c>
      <c r="BG86" s="488"/>
      <c r="BH86" s="56"/>
      <c r="BI86" s="531"/>
      <c r="BJ86" s="532"/>
      <c r="BK86" s="532"/>
      <c r="BL86" s="532"/>
      <c r="BM86" s="532"/>
      <c r="BN86" s="533"/>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row>
    <row r="87" spans="1:100" ht="15" customHeight="1" x14ac:dyDescent="0.35">
      <c r="A87" s="56"/>
      <c r="B87" s="307"/>
      <c r="C87" s="307"/>
      <c r="D87" s="308"/>
      <c r="E87" s="468"/>
      <c r="F87" s="469"/>
      <c r="G87" s="469"/>
      <c r="H87" s="469"/>
      <c r="I87" s="470"/>
      <c r="J87" s="451"/>
      <c r="K87" s="452"/>
      <c r="L87" s="452"/>
      <c r="M87" s="452"/>
      <c r="N87" s="452"/>
      <c r="O87" s="452"/>
      <c r="P87" s="452"/>
      <c r="Q87" s="452"/>
      <c r="R87" s="452"/>
      <c r="S87" s="500"/>
      <c r="T87" s="451"/>
      <c r="U87" s="452"/>
      <c r="V87" s="452"/>
      <c r="W87" s="452"/>
      <c r="X87" s="452"/>
      <c r="Y87" s="452"/>
      <c r="Z87" s="452"/>
      <c r="AA87" s="452"/>
      <c r="AB87" s="452"/>
      <c r="AC87" s="500"/>
      <c r="AD87" s="457"/>
      <c r="AE87" s="458"/>
      <c r="AF87" s="458"/>
      <c r="AG87" s="458"/>
      <c r="AH87" s="458"/>
      <c r="AI87" s="458"/>
      <c r="AJ87" s="458"/>
      <c r="AK87" s="458"/>
      <c r="AL87" s="458"/>
      <c r="AM87" s="461"/>
      <c r="AN87" s="491"/>
      <c r="AO87" s="450"/>
      <c r="AP87" s="450"/>
      <c r="AQ87" s="450"/>
      <c r="AR87" s="450"/>
      <c r="AS87" s="450"/>
      <c r="AT87" s="450"/>
      <c r="AU87" s="450"/>
      <c r="AV87" s="450"/>
      <c r="AW87" s="490"/>
      <c r="AX87" s="482"/>
      <c r="AY87" s="480"/>
      <c r="AZ87" s="480"/>
      <c r="BA87" s="480"/>
      <c r="BB87" s="480"/>
      <c r="BC87" s="480"/>
      <c r="BD87" s="480"/>
      <c r="BE87" s="480"/>
      <c r="BF87" s="480"/>
      <c r="BG87" s="481"/>
      <c r="BH87" s="56"/>
      <c r="BI87" s="531"/>
      <c r="BJ87" s="532"/>
      <c r="BK87" s="532"/>
      <c r="BL87" s="532"/>
      <c r="BM87" s="532"/>
      <c r="BN87" s="533"/>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row>
    <row r="88" spans="1:100" ht="15" customHeight="1" x14ac:dyDescent="0.35">
      <c r="A88" s="56"/>
      <c r="B88" s="307"/>
      <c r="C88" s="307"/>
      <c r="D88" s="308"/>
      <c r="E88" s="468"/>
      <c r="F88" s="469"/>
      <c r="G88" s="469"/>
      <c r="H88" s="469"/>
      <c r="I88" s="470"/>
      <c r="J88" s="451" t="str">
        <f>IF(AND('Mapa final'!$K$16="Muy Baja",'Mapa final'!$O$16="Leve"),CONCATENATE("R",'Mapa final'!$A$16),"")</f>
        <v/>
      </c>
      <c r="K88" s="452"/>
      <c r="L88" s="452" t="str">
        <f>IF(AND('Mapa final'!$K$19="Muy Baja",'Mapa final'!$O$19="Leve"),CONCATENATE("R",'Mapa final'!$A$19),"")</f>
        <v/>
      </c>
      <c r="M88" s="452"/>
      <c r="N88" s="452" t="str">
        <f>IF(AND('Mapa final'!$K$22="Muy Baja",'Mapa final'!$O$22="Leve"),CONCATENATE("R",'Mapa final'!$A$22),"")</f>
        <v/>
      </c>
      <c r="O88" s="452"/>
      <c r="P88" s="452" t="str">
        <f>IF(AND('Mapa final'!$K$25="Muy Baja",'Mapa final'!$O$25="Leve"),CONCATENATE("R",'Mapa final'!$A$25),"")</f>
        <v/>
      </c>
      <c r="Q88" s="452"/>
      <c r="R88" s="452" t="str">
        <f>IF(AND('Mapa final'!$K$28="Muy Baja",'Mapa final'!$O$28="Leve"),CONCATENATE("R",'Mapa final'!$A$28),"")</f>
        <v/>
      </c>
      <c r="S88" s="500"/>
      <c r="T88" s="451" t="str">
        <f>IF(AND('Mapa final'!$K$16="Muy Baja",'Mapa final'!$O$16="Menor"),CONCATENATE("R",'Mapa final'!$A$16),"")</f>
        <v/>
      </c>
      <c r="U88" s="452"/>
      <c r="V88" s="452" t="str">
        <f>IF(AND('Mapa final'!$K$19="Muy Baja",'Mapa final'!$O$19="Menor"),CONCATENATE("R",'Mapa final'!$A$19),"")</f>
        <v/>
      </c>
      <c r="W88" s="452"/>
      <c r="X88" s="452" t="str">
        <f>IF(AND('Mapa final'!$K$22="Muy Baja",'Mapa final'!$O$22="Menor"),CONCATENATE("R",'Mapa final'!$A$22),"")</f>
        <v/>
      </c>
      <c r="Y88" s="452"/>
      <c r="Z88" s="452" t="str">
        <f>IF(AND('Mapa final'!$K$25="Muy Baja",'Mapa final'!$O$25="Menor"),CONCATENATE("R",'Mapa final'!$A$25),"")</f>
        <v/>
      </c>
      <c r="AA88" s="452"/>
      <c r="AB88" s="452" t="str">
        <f>IF(AND('Mapa final'!$K$28="Muy Baja",'Mapa final'!$O$28="Menor"),CONCATENATE("R",'Mapa final'!$A$28),"")</f>
        <v/>
      </c>
      <c r="AC88" s="500"/>
      <c r="AD88" s="457" t="str">
        <f>IF(AND('Mapa final'!$K$16="Muy Baja",'Mapa final'!$O$16="Moderado"),CONCATENATE("R",'Mapa final'!$A$16),"")</f>
        <v>R5</v>
      </c>
      <c r="AE88" s="458"/>
      <c r="AF88" s="458" t="str">
        <f>IF(AND('Mapa final'!$K$19="Muy Baja",'Mapa final'!$O$19="Moderado"),CONCATENATE("R",'Mapa final'!$A$19),"")</f>
        <v>R6</v>
      </c>
      <c r="AG88" s="458"/>
      <c r="AH88" s="458" t="str">
        <f>IF(AND('Mapa final'!$K$22="Muy Baja",'Mapa final'!$O$22="Moderado"),CONCATENATE("R",'Mapa final'!$A$22),"")</f>
        <v/>
      </c>
      <c r="AI88" s="458"/>
      <c r="AJ88" s="458" t="str">
        <f>IF(AND('Mapa final'!$K$25="Muy Baja",'Mapa final'!$O$25="Moderado"),CONCATENATE("R",'Mapa final'!$A$25),"")</f>
        <v/>
      </c>
      <c r="AK88" s="458"/>
      <c r="AL88" s="458" t="str">
        <f>IF(AND('Mapa final'!$K$28="Muy Baja",'Mapa final'!$O$28="Moderado"),CONCATENATE("R",'Mapa final'!$A$28),"")</f>
        <v/>
      </c>
      <c r="AM88" s="461"/>
      <c r="AN88" s="491" t="str">
        <f>IF(AND('Mapa final'!$K$16="Muy Baja",'Mapa final'!$O$16="Mayor"),CONCATENATE("R",'Mapa final'!$A$16),"")</f>
        <v/>
      </c>
      <c r="AO88" s="450"/>
      <c r="AP88" s="450" t="str">
        <f>IF(AND('Mapa final'!$K$19="Muy Baja",'Mapa final'!$O$19="Mayor"),CONCATENATE("R",'Mapa final'!$A$19),"")</f>
        <v/>
      </c>
      <c r="AQ88" s="450"/>
      <c r="AR88" s="450" t="str">
        <f>IF(AND('Mapa final'!$K$22="Muy Baja",'Mapa final'!$O$22="Mayor"),CONCATENATE("R",'Mapa final'!$A$22),"")</f>
        <v/>
      </c>
      <c r="AS88" s="450"/>
      <c r="AT88" s="450" t="str">
        <f>IF(AND('Mapa final'!$K$25="Muy Baja",'Mapa final'!$O$25="Mayor"),CONCATENATE("R",'Mapa final'!$A$25),"")</f>
        <v/>
      </c>
      <c r="AU88" s="450"/>
      <c r="AV88" s="450" t="str">
        <f>IF(AND('Mapa final'!$K$28="Muy Baja",'Mapa final'!$O$28="Mayor"),CONCATENATE("R",'Mapa final'!$A$28),"")</f>
        <v/>
      </c>
      <c r="AW88" s="490"/>
      <c r="AX88" s="482" t="str">
        <f>IF(AND('Mapa final'!$K$16="Muy Baja",'Mapa final'!$O$16="Catastrófico"),CONCATENATE("R",'Mapa final'!$A$16),"")</f>
        <v/>
      </c>
      <c r="AY88" s="480"/>
      <c r="AZ88" s="480" t="str">
        <f>IF(AND('Mapa final'!$K$19="Muy Baja",'Mapa final'!$O$19="Catastrófico"),CONCATENATE("R",'Mapa final'!$A$19),"")</f>
        <v/>
      </c>
      <c r="BA88" s="480"/>
      <c r="BB88" s="480" t="str">
        <f>IF(AND('Mapa final'!$K$22="Muy Baja",'Mapa final'!$O$22="Catastrófico"),CONCATENATE("R",'Mapa final'!$A$22),"")</f>
        <v/>
      </c>
      <c r="BC88" s="480"/>
      <c r="BD88" s="480" t="str">
        <f>IF(AND('Mapa final'!$K$25="Muy Baja",'Mapa final'!$O$25="Catastrófico"),CONCATENATE("R",'Mapa final'!$A$25),"")</f>
        <v/>
      </c>
      <c r="BE88" s="480"/>
      <c r="BF88" s="480" t="str">
        <f>IF(AND('Mapa final'!$K$28="Muy Baja",'Mapa final'!$O$28="Catastrófico"),CONCATENATE("R",'Mapa final'!$A$28),"")</f>
        <v/>
      </c>
      <c r="BG88" s="481"/>
      <c r="BH88" s="56"/>
      <c r="BI88" s="531"/>
      <c r="BJ88" s="532"/>
      <c r="BK88" s="532"/>
      <c r="BL88" s="532"/>
      <c r="BM88" s="532"/>
      <c r="BN88" s="533"/>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row>
    <row r="89" spans="1:100" ht="15" customHeight="1" x14ac:dyDescent="0.35">
      <c r="A89" s="56"/>
      <c r="B89" s="307"/>
      <c r="C89" s="307"/>
      <c r="D89" s="308"/>
      <c r="E89" s="468"/>
      <c r="F89" s="469"/>
      <c r="G89" s="469"/>
      <c r="H89" s="469"/>
      <c r="I89" s="470"/>
      <c r="J89" s="451"/>
      <c r="K89" s="452"/>
      <c r="L89" s="452"/>
      <c r="M89" s="452"/>
      <c r="N89" s="452"/>
      <c r="O89" s="452"/>
      <c r="P89" s="452"/>
      <c r="Q89" s="452"/>
      <c r="R89" s="452"/>
      <c r="S89" s="500"/>
      <c r="T89" s="451"/>
      <c r="U89" s="452"/>
      <c r="V89" s="452"/>
      <c r="W89" s="452"/>
      <c r="X89" s="452"/>
      <c r="Y89" s="452"/>
      <c r="Z89" s="452"/>
      <c r="AA89" s="452"/>
      <c r="AB89" s="452"/>
      <c r="AC89" s="500"/>
      <c r="AD89" s="457"/>
      <c r="AE89" s="458"/>
      <c r="AF89" s="458"/>
      <c r="AG89" s="458"/>
      <c r="AH89" s="458"/>
      <c r="AI89" s="458"/>
      <c r="AJ89" s="458"/>
      <c r="AK89" s="458"/>
      <c r="AL89" s="458"/>
      <c r="AM89" s="461"/>
      <c r="AN89" s="491"/>
      <c r="AO89" s="450"/>
      <c r="AP89" s="450"/>
      <c r="AQ89" s="450"/>
      <c r="AR89" s="450"/>
      <c r="AS89" s="450"/>
      <c r="AT89" s="450"/>
      <c r="AU89" s="450"/>
      <c r="AV89" s="450"/>
      <c r="AW89" s="490"/>
      <c r="AX89" s="482"/>
      <c r="AY89" s="480"/>
      <c r="AZ89" s="480"/>
      <c r="BA89" s="480"/>
      <c r="BB89" s="480"/>
      <c r="BC89" s="480"/>
      <c r="BD89" s="480"/>
      <c r="BE89" s="480"/>
      <c r="BF89" s="480"/>
      <c r="BG89" s="481"/>
      <c r="BH89" s="56"/>
      <c r="BI89" s="531"/>
      <c r="BJ89" s="532"/>
      <c r="BK89" s="532"/>
      <c r="BL89" s="532"/>
      <c r="BM89" s="532"/>
      <c r="BN89" s="533"/>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row>
    <row r="90" spans="1:100" ht="15" customHeight="1" x14ac:dyDescent="0.35">
      <c r="A90" s="56"/>
      <c r="B90" s="307"/>
      <c r="C90" s="307"/>
      <c r="D90" s="308"/>
      <c r="E90" s="468"/>
      <c r="F90" s="469"/>
      <c r="G90" s="469"/>
      <c r="H90" s="469"/>
      <c r="I90" s="470"/>
      <c r="J90" s="451" t="str">
        <f>IF(AND('Mapa final'!$K$31="Muy Baja",'Mapa final'!$O$31="Leve"),CONCATENATE("R",'Mapa final'!$A$31),"")</f>
        <v/>
      </c>
      <c r="K90" s="452"/>
      <c r="L90" s="452" t="str">
        <f>IF(AND('Mapa final'!$K$34="Muy Baja",'Mapa final'!$O$34="Leve"),CONCATENATE("R",'Mapa final'!$A$34),"")</f>
        <v/>
      </c>
      <c r="M90" s="452"/>
      <c r="N90" s="452" t="str">
        <f>IF(AND('Mapa final'!$K$37="Muy Baja",'Mapa final'!$O$37="Leve"),CONCATENATE("R",'Mapa final'!$A$37),"")</f>
        <v/>
      </c>
      <c r="O90" s="452"/>
      <c r="P90" s="452" t="str">
        <f>IF(AND('Mapa final'!$K$40="Muy Baja",'Mapa final'!$O$40="Leve"),CONCATENATE("R",'Mapa final'!$A$40),"")</f>
        <v/>
      </c>
      <c r="Q90" s="452"/>
      <c r="R90" s="452" t="str">
        <f>IF(AND('Mapa final'!$K$43="Muy Baja",'Mapa final'!$O$43="Leve"),CONCATENATE("R",'Mapa final'!$A$43),"")</f>
        <v/>
      </c>
      <c r="S90" s="500"/>
      <c r="T90" s="451" t="str">
        <f>IF(AND('Mapa final'!$K$31="Muy Baja",'Mapa final'!$O$31="Menor"),CONCATENATE("R",'Mapa final'!$A$31),"")</f>
        <v/>
      </c>
      <c r="U90" s="452"/>
      <c r="V90" s="452" t="str">
        <f>IF(AND('Mapa final'!$K$34="Muy Baja",'Mapa final'!$O$34="Menor"),CONCATENATE("R",'Mapa final'!$A$34),"")</f>
        <v/>
      </c>
      <c r="W90" s="452"/>
      <c r="X90" s="452" t="str">
        <f>IF(AND('Mapa final'!$K$37="Muy Baja",'Mapa final'!$O$37="Menor"),CONCATENATE("R",'Mapa final'!$A$37),"")</f>
        <v/>
      </c>
      <c r="Y90" s="452"/>
      <c r="Z90" s="452" t="str">
        <f>IF(AND('Mapa final'!$K$40="Muy Baja",'Mapa final'!$O$40="Menor"),CONCATENATE("R",'Mapa final'!$A$40),"")</f>
        <v/>
      </c>
      <c r="AA90" s="452"/>
      <c r="AB90" s="452" t="str">
        <f>IF(AND('Mapa final'!$K$43="Muy Baja",'Mapa final'!$O$43="Menor"),CONCATENATE("R",'Mapa final'!$A$43),"")</f>
        <v/>
      </c>
      <c r="AC90" s="500"/>
      <c r="AD90" s="457" t="str">
        <f>IF(AND('Mapa final'!$K$31="Muy Baja",'Mapa final'!$O$31="Moderado"),CONCATENATE("R",'Mapa final'!$A$31),"")</f>
        <v/>
      </c>
      <c r="AE90" s="458"/>
      <c r="AF90" s="458" t="str">
        <f>IF(AND('Mapa final'!$K$34="Muy Baja",'Mapa final'!$O$34="Moderado"),CONCATENATE("R",'Mapa final'!$A$34),"")</f>
        <v/>
      </c>
      <c r="AG90" s="458"/>
      <c r="AH90" s="458" t="str">
        <f>IF(AND('Mapa final'!$K$37="Muy Baja",'Mapa final'!$O$37="Moderado"),CONCATENATE("R",'Mapa final'!$A$37),"")</f>
        <v>R12</v>
      </c>
      <c r="AI90" s="458"/>
      <c r="AJ90" s="458" t="str">
        <f>IF(AND('Mapa final'!$K$40="Muy Baja",'Mapa final'!$O$40="Moderado"),CONCATENATE("R",'Mapa final'!$A$40),"")</f>
        <v/>
      </c>
      <c r="AK90" s="458"/>
      <c r="AL90" s="458" t="str">
        <f>IF(AND('Mapa final'!$K$43="Muy Baja",'Mapa final'!$O$43="Moderado"),CONCATENATE("R",'Mapa final'!$A$43),"")</f>
        <v/>
      </c>
      <c r="AM90" s="461"/>
      <c r="AN90" s="491" t="str">
        <f>IF(AND('Mapa final'!$K$31="Muy Baja",'Mapa final'!$O$31="Mayor"),CONCATENATE("R",'Mapa final'!$A$31),"")</f>
        <v/>
      </c>
      <c r="AO90" s="450"/>
      <c r="AP90" s="450" t="str">
        <f>IF(AND('Mapa final'!$K$34="Muy Baja",'Mapa final'!$O$34="Mayor"),CONCATENATE("R",'Mapa final'!$A$34),"")</f>
        <v/>
      </c>
      <c r="AQ90" s="450"/>
      <c r="AR90" s="450" t="str">
        <f>IF(AND('Mapa final'!$K$37="Muy Baja",'Mapa final'!$O$37="Mayor"),CONCATENATE("R",'Mapa final'!$A$37),"")</f>
        <v/>
      </c>
      <c r="AS90" s="450"/>
      <c r="AT90" s="450" t="str">
        <f>IF(AND('Mapa final'!$K$40="Muy Baja",'Mapa final'!$O$40="Mayor"),CONCATENATE("R",'Mapa final'!$A$40),"")</f>
        <v/>
      </c>
      <c r="AU90" s="450"/>
      <c r="AV90" s="450" t="str">
        <f>IF(AND('Mapa final'!$K$43="Muy Baja",'Mapa final'!$O$43="Mayor"),CONCATENATE("R",'Mapa final'!$A$43),"")</f>
        <v/>
      </c>
      <c r="AW90" s="490"/>
      <c r="AX90" s="482" t="str">
        <f>IF(AND('Mapa final'!$K$31="Muy Baja",'Mapa final'!$O$31="Catastrófico"),CONCATENATE("R",'Mapa final'!$A$31),"")</f>
        <v/>
      </c>
      <c r="AY90" s="480"/>
      <c r="AZ90" s="480" t="str">
        <f>IF(AND('Mapa final'!$K$34="Muy Baja",'Mapa final'!$O$34="Catastrófico"),CONCATENATE("R",'Mapa final'!$A$34),"")</f>
        <v/>
      </c>
      <c r="BA90" s="480"/>
      <c r="BB90" s="480" t="str">
        <f>IF(AND('Mapa final'!$K$37="Muy Baja",'Mapa final'!$O$37="Catastrófico"),CONCATENATE("R",'Mapa final'!$A$37),"")</f>
        <v/>
      </c>
      <c r="BC90" s="480"/>
      <c r="BD90" s="480" t="str">
        <f>IF(AND('Mapa final'!$K$40="Muy Baja",'Mapa final'!$O$40="Catastrófico"),CONCATENATE("R",'Mapa final'!$A$40),"")</f>
        <v/>
      </c>
      <c r="BE90" s="480"/>
      <c r="BF90" s="480" t="str">
        <f>IF(AND('Mapa final'!$K$43="Muy Baja",'Mapa final'!$O$43="Catastrófico"),CONCATENATE("R",'Mapa final'!$A$43),"")</f>
        <v/>
      </c>
      <c r="BG90" s="481"/>
      <c r="BH90" s="56"/>
      <c r="BI90" s="531"/>
      <c r="BJ90" s="532"/>
      <c r="BK90" s="532"/>
      <c r="BL90" s="532"/>
      <c r="BM90" s="532"/>
      <c r="BN90" s="533"/>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row>
    <row r="91" spans="1:100" ht="15" customHeight="1" x14ac:dyDescent="0.35">
      <c r="A91" s="56"/>
      <c r="B91" s="307"/>
      <c r="C91" s="307"/>
      <c r="D91" s="308"/>
      <c r="E91" s="468"/>
      <c r="F91" s="469"/>
      <c r="G91" s="469"/>
      <c r="H91" s="469"/>
      <c r="I91" s="470"/>
      <c r="J91" s="451"/>
      <c r="K91" s="452"/>
      <c r="L91" s="452"/>
      <c r="M91" s="452"/>
      <c r="N91" s="452"/>
      <c r="O91" s="452"/>
      <c r="P91" s="452"/>
      <c r="Q91" s="452"/>
      <c r="R91" s="452"/>
      <c r="S91" s="500"/>
      <c r="T91" s="451"/>
      <c r="U91" s="452"/>
      <c r="V91" s="452"/>
      <c r="W91" s="452"/>
      <c r="X91" s="452"/>
      <c r="Y91" s="452"/>
      <c r="Z91" s="452"/>
      <c r="AA91" s="452"/>
      <c r="AB91" s="452"/>
      <c r="AC91" s="500"/>
      <c r="AD91" s="457"/>
      <c r="AE91" s="458"/>
      <c r="AF91" s="458"/>
      <c r="AG91" s="458"/>
      <c r="AH91" s="458"/>
      <c r="AI91" s="458"/>
      <c r="AJ91" s="458"/>
      <c r="AK91" s="458"/>
      <c r="AL91" s="458"/>
      <c r="AM91" s="461"/>
      <c r="AN91" s="491"/>
      <c r="AO91" s="450"/>
      <c r="AP91" s="450"/>
      <c r="AQ91" s="450"/>
      <c r="AR91" s="450"/>
      <c r="AS91" s="450"/>
      <c r="AT91" s="450"/>
      <c r="AU91" s="450"/>
      <c r="AV91" s="450"/>
      <c r="AW91" s="490"/>
      <c r="AX91" s="482"/>
      <c r="AY91" s="480"/>
      <c r="AZ91" s="480"/>
      <c r="BA91" s="480"/>
      <c r="BB91" s="480"/>
      <c r="BC91" s="480"/>
      <c r="BD91" s="480"/>
      <c r="BE91" s="480"/>
      <c r="BF91" s="480"/>
      <c r="BG91" s="481"/>
      <c r="BH91" s="56"/>
      <c r="BI91" s="531"/>
      <c r="BJ91" s="532"/>
      <c r="BK91" s="532"/>
      <c r="BL91" s="532"/>
      <c r="BM91" s="532"/>
      <c r="BN91" s="533"/>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row>
    <row r="92" spans="1:100" ht="15" customHeight="1" x14ac:dyDescent="0.35">
      <c r="A92" s="56"/>
      <c r="B92" s="307"/>
      <c r="C92" s="307"/>
      <c r="D92" s="308"/>
      <c r="E92" s="468"/>
      <c r="F92" s="469"/>
      <c r="G92" s="469"/>
      <c r="H92" s="469"/>
      <c r="I92" s="470"/>
      <c r="J92" s="451" t="str">
        <f>IF(AND('Mapa final'!$K$46="Muy Baja",'Mapa final'!$O$46="Leve"),CONCATENATE("R",'Mapa final'!$A$46),"")</f>
        <v/>
      </c>
      <c r="K92" s="452"/>
      <c r="L92" s="452" t="str">
        <f>IF(AND('Mapa final'!$K$49="Muy Baja",'Mapa final'!$O$49="Leve"),CONCATENATE("R",'Mapa final'!$A$49),"")</f>
        <v/>
      </c>
      <c r="M92" s="452"/>
      <c r="N92" s="452" t="str">
        <f>IF(AND('Mapa final'!$K$52="Muy Baja",'Mapa final'!$O$52="Leve"),CONCATENATE("R",'Mapa final'!$A$52),"")</f>
        <v/>
      </c>
      <c r="O92" s="452"/>
      <c r="P92" s="452" t="str">
        <f>IF(AND('Mapa final'!$K$55="Muy Baja",'Mapa final'!$O$55="Leve"),CONCATENATE("R",'Mapa final'!$A$55),"")</f>
        <v/>
      </c>
      <c r="Q92" s="452"/>
      <c r="R92" s="452" t="str">
        <f>IF(AND('Mapa final'!$K$58="Muy Baja",'Mapa final'!$O$58="Leve"),CONCATENATE("R",'Mapa final'!$A$58),"")</f>
        <v/>
      </c>
      <c r="S92" s="500"/>
      <c r="T92" s="451" t="str">
        <f>IF(AND('Mapa final'!$K$46="Muy Baja",'Mapa final'!$O$46="Menor"),CONCATENATE("R",'Mapa final'!$A$46),"")</f>
        <v/>
      </c>
      <c r="U92" s="452"/>
      <c r="V92" s="452" t="str">
        <f>IF(AND('Mapa final'!$K$49="Muy Baja",'Mapa final'!$O$49="Menor"),CONCATENATE("R",'Mapa final'!$A$49),"")</f>
        <v/>
      </c>
      <c r="W92" s="452"/>
      <c r="X92" s="452" t="str">
        <f>IF(AND('Mapa final'!$K$52="Muy Baja",'Mapa final'!$O$52="Menor"),CONCATENATE("R",'Mapa final'!$A$52),"")</f>
        <v/>
      </c>
      <c r="Y92" s="452"/>
      <c r="Z92" s="452" t="str">
        <f>IF(AND('Mapa final'!$K$55="Muy Baja",'Mapa final'!$O$55="Menor"),CONCATENATE("R",'Mapa final'!$A$55),"")</f>
        <v/>
      </c>
      <c r="AA92" s="452"/>
      <c r="AB92" s="452" t="str">
        <f>IF(AND('Mapa final'!$K$58="Muy Baja",'Mapa final'!$O$58="Menor"),CONCATENATE("R",'Mapa final'!$A$58),"")</f>
        <v/>
      </c>
      <c r="AC92" s="500"/>
      <c r="AD92" s="457" t="str">
        <f>IF(AND('Mapa final'!$K$46="Muy Baja",'Mapa final'!$O$46="Moderado"),CONCATENATE("R",'Mapa final'!$A$46),"")</f>
        <v/>
      </c>
      <c r="AE92" s="458"/>
      <c r="AF92" s="458" t="str">
        <f>IF(AND('Mapa final'!$K$49="Muy Baja",'Mapa final'!$O$49="Moderado"),CONCATENATE("R",'Mapa final'!$A$49),"")</f>
        <v/>
      </c>
      <c r="AG92" s="458"/>
      <c r="AH92" s="458" t="str">
        <f>IF(AND('Mapa final'!$K$52="Muy Baja",'Mapa final'!$O$52="Moderado"),CONCATENATE("R",'Mapa final'!$A$52),"")</f>
        <v/>
      </c>
      <c r="AI92" s="458"/>
      <c r="AJ92" s="458" t="str">
        <f>IF(AND('Mapa final'!$K$55="Muy Baja",'Mapa final'!$O$55="Moderado"),CONCATENATE("R",'Mapa final'!$A$55),"")</f>
        <v/>
      </c>
      <c r="AK92" s="458"/>
      <c r="AL92" s="458" t="str">
        <f>IF(AND('Mapa final'!$K$58="Muy Baja",'Mapa final'!$O$58="Moderado"),CONCATENATE("R",'Mapa final'!$A$58),"")</f>
        <v/>
      </c>
      <c r="AM92" s="461"/>
      <c r="AN92" s="491" t="str">
        <f>IF(AND('Mapa final'!$K$46="Muy Baja",'Mapa final'!$O$46="Mayor"),CONCATENATE("R",'Mapa final'!$A$46),"")</f>
        <v/>
      </c>
      <c r="AO92" s="450"/>
      <c r="AP92" s="450" t="str">
        <f>IF(AND('Mapa final'!$K$49="Muy Baja",'Mapa final'!$O$49="Mayor"),CONCATENATE("R",'Mapa final'!$A$49),"")</f>
        <v/>
      </c>
      <c r="AQ92" s="450"/>
      <c r="AR92" s="450" t="str">
        <f>IF(AND('Mapa final'!$K$52="Muy Baja",'Mapa final'!$O$52="Mayor"),CONCATENATE("R",'Mapa final'!$A$52),"")</f>
        <v/>
      </c>
      <c r="AS92" s="450"/>
      <c r="AT92" s="450" t="str">
        <f>IF(AND('Mapa final'!$K$55="Muy Baja",'Mapa final'!$O$55="Mayor"),CONCATENATE("R",'Mapa final'!$A$55),"")</f>
        <v/>
      </c>
      <c r="AU92" s="450"/>
      <c r="AV92" s="450" t="str">
        <f>IF(AND('Mapa final'!$K$58="Muy Baja",'Mapa final'!$O$58="Mayor"),CONCATENATE("R",'Mapa final'!$A$58),"")</f>
        <v/>
      </c>
      <c r="AW92" s="490"/>
      <c r="AX92" s="482" t="str">
        <f>IF(AND('Mapa final'!$K$46="Muy Baja",'Mapa final'!$O$46="Catastrófico"),CONCATENATE("R",'Mapa final'!$A$46),"")</f>
        <v/>
      </c>
      <c r="AY92" s="480"/>
      <c r="AZ92" s="480" t="str">
        <f>IF(AND('Mapa final'!$K$49="Muy Baja",'Mapa final'!$O$49="Catastrófico"),CONCATENATE("R",'Mapa final'!$A$49),"")</f>
        <v/>
      </c>
      <c r="BA92" s="480"/>
      <c r="BB92" s="480" t="str">
        <f>IF(AND('Mapa final'!$K$52="Muy Baja",'Mapa final'!$O$52="Catastrófico"),CONCATENATE("R",'Mapa final'!$A$52),"")</f>
        <v/>
      </c>
      <c r="BC92" s="480"/>
      <c r="BD92" s="480" t="str">
        <f>IF(AND('Mapa final'!$K$55="Muy Baja",'Mapa final'!$O$55="Catastrófico"),CONCATENATE("R",'Mapa final'!$A$55),"")</f>
        <v/>
      </c>
      <c r="BE92" s="480"/>
      <c r="BF92" s="480" t="str">
        <f>IF(AND('Mapa final'!$K$58="Muy Baja",'Mapa final'!$O$58="Catastrófico"),CONCATENATE("R",'Mapa final'!$A$58),"")</f>
        <v/>
      </c>
      <c r="BG92" s="481"/>
      <c r="BH92" s="56"/>
      <c r="BI92" s="531"/>
      <c r="BJ92" s="532"/>
      <c r="BK92" s="532"/>
      <c r="BL92" s="532"/>
      <c r="BM92" s="532"/>
      <c r="BN92" s="533"/>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row>
    <row r="93" spans="1:100" ht="15" customHeight="1" x14ac:dyDescent="0.35">
      <c r="A93" s="56"/>
      <c r="B93" s="307"/>
      <c r="C93" s="307"/>
      <c r="D93" s="308"/>
      <c r="E93" s="468"/>
      <c r="F93" s="469"/>
      <c r="G93" s="469"/>
      <c r="H93" s="469"/>
      <c r="I93" s="470"/>
      <c r="J93" s="451"/>
      <c r="K93" s="452"/>
      <c r="L93" s="452"/>
      <c r="M93" s="452"/>
      <c r="N93" s="452"/>
      <c r="O93" s="452"/>
      <c r="P93" s="452"/>
      <c r="Q93" s="452"/>
      <c r="R93" s="452"/>
      <c r="S93" s="500"/>
      <c r="T93" s="451"/>
      <c r="U93" s="452"/>
      <c r="V93" s="452"/>
      <c r="W93" s="452"/>
      <c r="X93" s="452"/>
      <c r="Y93" s="452"/>
      <c r="Z93" s="452"/>
      <c r="AA93" s="452"/>
      <c r="AB93" s="452"/>
      <c r="AC93" s="500"/>
      <c r="AD93" s="457"/>
      <c r="AE93" s="458"/>
      <c r="AF93" s="458"/>
      <c r="AG93" s="458"/>
      <c r="AH93" s="458"/>
      <c r="AI93" s="458"/>
      <c r="AJ93" s="458"/>
      <c r="AK93" s="458"/>
      <c r="AL93" s="458"/>
      <c r="AM93" s="461"/>
      <c r="AN93" s="491"/>
      <c r="AO93" s="450"/>
      <c r="AP93" s="450"/>
      <c r="AQ93" s="450"/>
      <c r="AR93" s="450"/>
      <c r="AS93" s="450"/>
      <c r="AT93" s="450"/>
      <c r="AU93" s="450"/>
      <c r="AV93" s="450"/>
      <c r="AW93" s="490"/>
      <c r="AX93" s="482"/>
      <c r="AY93" s="480"/>
      <c r="AZ93" s="480"/>
      <c r="BA93" s="480"/>
      <c r="BB93" s="480"/>
      <c r="BC93" s="480"/>
      <c r="BD93" s="480"/>
      <c r="BE93" s="480"/>
      <c r="BF93" s="480"/>
      <c r="BG93" s="481"/>
      <c r="BH93" s="56"/>
      <c r="BI93" s="531"/>
      <c r="BJ93" s="532"/>
      <c r="BK93" s="532"/>
      <c r="BL93" s="532"/>
      <c r="BM93" s="532"/>
      <c r="BN93" s="533"/>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row>
    <row r="94" spans="1:100" ht="15" customHeight="1" x14ac:dyDescent="0.35">
      <c r="A94" s="56"/>
      <c r="B94" s="307"/>
      <c r="C94" s="307"/>
      <c r="D94" s="308"/>
      <c r="E94" s="468"/>
      <c r="F94" s="469"/>
      <c r="G94" s="469"/>
      <c r="H94" s="469"/>
      <c r="I94" s="470"/>
      <c r="J94" s="451" t="str">
        <f>IF(AND('Mapa final'!$K$61="Muy Baja",'Mapa final'!$O$61="Leve"),CONCATENATE("R",'Mapa final'!$A$61),"")</f>
        <v/>
      </c>
      <c r="K94" s="452"/>
      <c r="L94" s="452" t="str">
        <f>IF(AND('Mapa final'!$K$64="Muy Baja",'Mapa final'!$O$64="Leve"),CONCATENATE("R",'Mapa final'!$A$64),"")</f>
        <v/>
      </c>
      <c r="M94" s="452"/>
      <c r="N94" s="452" t="str">
        <f>IF(AND('Mapa final'!$K$70="Muy Baja",'Mapa final'!$O$70="Leve"),CONCATENATE("R",'Mapa final'!$A$70),"")</f>
        <v/>
      </c>
      <c r="O94" s="452"/>
      <c r="P94" s="452" t="str">
        <f>IF(AND('Mapa final'!$K$73="Muy Baja",'Mapa final'!$O$73="Leve"),CONCATENATE("R",'Mapa final'!$A$73),"")</f>
        <v/>
      </c>
      <c r="Q94" s="452"/>
      <c r="R94" s="452" t="str">
        <f>IF(AND('Mapa final'!$K$76="Muy Baja",'Mapa final'!$O$76="Leve"),CONCATENATE("R",'Mapa final'!$A$76),"")</f>
        <v/>
      </c>
      <c r="S94" s="500"/>
      <c r="T94" s="451" t="str">
        <f>IF(AND('Mapa final'!$K$61="Muy Baja",'Mapa final'!$O$61="Menor"),CONCATENATE("R",'Mapa final'!$A$61),"")</f>
        <v/>
      </c>
      <c r="U94" s="452"/>
      <c r="V94" s="452" t="str">
        <f>IF(AND('Mapa final'!$K$64="Muy Baja",'Mapa final'!$O$64="Menor"),CONCATENATE("R",'Mapa final'!$A$64),"")</f>
        <v/>
      </c>
      <c r="W94" s="452"/>
      <c r="X94" s="452" t="str">
        <f>IF(AND('Mapa final'!$K$70="Muy Baja",'Mapa final'!$O$70="Menor"),CONCATENATE("R",'Mapa final'!$A$70),"")</f>
        <v/>
      </c>
      <c r="Y94" s="452"/>
      <c r="Z94" s="452" t="str">
        <f>IF(AND('Mapa final'!$K$73="Muy Baja",'Mapa final'!$O$73="Menor"),CONCATENATE("R",'Mapa final'!$A$73),"")</f>
        <v/>
      </c>
      <c r="AA94" s="452"/>
      <c r="AB94" s="452" t="str">
        <f>IF(AND('Mapa final'!$K$76="Muy Baja",'Mapa final'!$O$76="Menor"),CONCATENATE("R",'Mapa final'!$A$76),"")</f>
        <v/>
      </c>
      <c r="AC94" s="500"/>
      <c r="AD94" s="457" t="str">
        <f>IF(AND('Mapa final'!$K$61="Muy Baja",'Mapa final'!$O$61="Moderado"),CONCATENATE("R",'Mapa final'!$A$61),"")</f>
        <v/>
      </c>
      <c r="AE94" s="458"/>
      <c r="AF94" s="458" t="str">
        <f>IF(AND('Mapa final'!$K$64="Muy Baja",'Mapa final'!$O$64="Moderado"),CONCATENATE("R",'Mapa final'!$A$64),"")</f>
        <v/>
      </c>
      <c r="AG94" s="458"/>
      <c r="AH94" s="458" t="str">
        <f>IF(AND('Mapa final'!$K$70="Muy Baja",'Mapa final'!$O$70="Moderado"),CONCATENATE("R",'Mapa final'!$A$70),"")</f>
        <v/>
      </c>
      <c r="AI94" s="458"/>
      <c r="AJ94" s="458" t="str">
        <f>IF(AND('Mapa final'!$K$73="Muy Baja",'Mapa final'!$O$73="Moderado"),CONCATENATE("R",'Mapa final'!$A$73),"")</f>
        <v/>
      </c>
      <c r="AK94" s="458"/>
      <c r="AL94" s="458" t="str">
        <f>IF(AND('Mapa final'!$K$76="Muy Baja",'Mapa final'!$O$76="Moderado"),CONCATENATE("R",'Mapa final'!$A$76),"")</f>
        <v/>
      </c>
      <c r="AM94" s="461"/>
      <c r="AN94" s="491" t="str">
        <f>IF(AND('Mapa final'!$K$61="Muy Baja",'Mapa final'!$O$61="Mayor"),CONCATENATE("R",'Mapa final'!$A$61),"")</f>
        <v/>
      </c>
      <c r="AO94" s="450"/>
      <c r="AP94" s="450" t="str">
        <f>IF(AND('Mapa final'!$K$64="Muy Baja",'Mapa final'!$O$64="Mayor"),CONCATENATE("R",'Mapa final'!$A$64),"")</f>
        <v/>
      </c>
      <c r="AQ94" s="450"/>
      <c r="AR94" s="450" t="str">
        <f>IF(AND('Mapa final'!$K$70="Muy Baja",'Mapa final'!$O$70="Mayor"),CONCATENATE("R",'Mapa final'!$A$70),"")</f>
        <v/>
      </c>
      <c r="AS94" s="450"/>
      <c r="AT94" s="450" t="str">
        <f>IF(AND('Mapa final'!$K$73="Muy Baja",'Mapa final'!$O$73="Mayor"),CONCATENATE("R",'Mapa final'!$A$73),"")</f>
        <v/>
      </c>
      <c r="AU94" s="450"/>
      <c r="AV94" s="450" t="str">
        <f>IF(AND('Mapa final'!$K$76="Muy Baja",'Mapa final'!$O$76="Mayor"),CONCATENATE("R",'Mapa final'!$A$76),"")</f>
        <v/>
      </c>
      <c r="AW94" s="490"/>
      <c r="AX94" s="482" t="str">
        <f>IF(AND('Mapa final'!$K$61="Muy Baja",'Mapa final'!$O$61="Catastrófico"),CONCATENATE("R",'Mapa final'!$A$61),"")</f>
        <v/>
      </c>
      <c r="AY94" s="480"/>
      <c r="AZ94" s="480" t="str">
        <f>IF(AND('Mapa final'!$K$64="Muy Baja",'Mapa final'!$O$64="Catastrófico"),CONCATENATE("R",'Mapa final'!$A$64),"")</f>
        <v/>
      </c>
      <c r="BA94" s="480"/>
      <c r="BB94" s="480" t="str">
        <f>IF(AND('Mapa final'!$K$70="Muy Baja",'Mapa final'!$O$70="Catastrófico"),CONCATENATE("R",'Mapa final'!$A$70),"")</f>
        <v/>
      </c>
      <c r="BC94" s="480"/>
      <c r="BD94" s="480" t="str">
        <f>IF(AND('Mapa final'!$K$73="Muy Baja",'Mapa final'!$O$73="Catastrófico"),CONCATENATE("R",'Mapa final'!$A$73),"")</f>
        <v/>
      </c>
      <c r="BE94" s="480"/>
      <c r="BF94" s="480" t="str">
        <f>IF(AND('Mapa final'!$K$76="Muy Baja",'Mapa final'!$O$76="Catastrófico"),CONCATENATE("R",'Mapa final'!$A$76),"")</f>
        <v/>
      </c>
      <c r="BG94" s="481"/>
      <c r="BH94" s="56"/>
      <c r="BI94" s="531"/>
      <c r="BJ94" s="532"/>
      <c r="BK94" s="532"/>
      <c r="BL94" s="532"/>
      <c r="BM94" s="532"/>
      <c r="BN94" s="533"/>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row>
    <row r="95" spans="1:100" ht="15" customHeight="1" x14ac:dyDescent="0.35">
      <c r="A95" s="56"/>
      <c r="B95" s="307"/>
      <c r="C95" s="307"/>
      <c r="D95" s="308"/>
      <c r="E95" s="468"/>
      <c r="F95" s="469"/>
      <c r="G95" s="469"/>
      <c r="H95" s="469"/>
      <c r="I95" s="470"/>
      <c r="J95" s="451"/>
      <c r="K95" s="452"/>
      <c r="L95" s="452"/>
      <c r="M95" s="452"/>
      <c r="N95" s="452"/>
      <c r="O95" s="452"/>
      <c r="P95" s="452"/>
      <c r="Q95" s="452"/>
      <c r="R95" s="452"/>
      <c r="S95" s="500"/>
      <c r="T95" s="451"/>
      <c r="U95" s="452"/>
      <c r="V95" s="452"/>
      <c r="W95" s="452"/>
      <c r="X95" s="452"/>
      <c r="Y95" s="452"/>
      <c r="Z95" s="452"/>
      <c r="AA95" s="452"/>
      <c r="AB95" s="452"/>
      <c r="AC95" s="500"/>
      <c r="AD95" s="457"/>
      <c r="AE95" s="458"/>
      <c r="AF95" s="458"/>
      <c r="AG95" s="458"/>
      <c r="AH95" s="458"/>
      <c r="AI95" s="458"/>
      <c r="AJ95" s="458"/>
      <c r="AK95" s="458"/>
      <c r="AL95" s="458"/>
      <c r="AM95" s="461"/>
      <c r="AN95" s="491"/>
      <c r="AO95" s="450"/>
      <c r="AP95" s="450"/>
      <c r="AQ95" s="450"/>
      <c r="AR95" s="450"/>
      <c r="AS95" s="450"/>
      <c r="AT95" s="450"/>
      <c r="AU95" s="450"/>
      <c r="AV95" s="450"/>
      <c r="AW95" s="490"/>
      <c r="AX95" s="482"/>
      <c r="AY95" s="480"/>
      <c r="AZ95" s="480"/>
      <c r="BA95" s="480"/>
      <c r="BB95" s="480"/>
      <c r="BC95" s="480"/>
      <c r="BD95" s="480"/>
      <c r="BE95" s="480"/>
      <c r="BF95" s="480"/>
      <c r="BG95" s="481"/>
      <c r="BH95" s="56"/>
      <c r="BI95" s="531"/>
      <c r="BJ95" s="532"/>
      <c r="BK95" s="532"/>
      <c r="BL95" s="532"/>
      <c r="BM95" s="532"/>
      <c r="BN95" s="533"/>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row>
    <row r="96" spans="1:100" ht="15" customHeight="1" x14ac:dyDescent="0.35">
      <c r="A96" s="56"/>
      <c r="B96" s="307"/>
      <c r="C96" s="307"/>
      <c r="D96" s="308"/>
      <c r="E96" s="468"/>
      <c r="F96" s="469"/>
      <c r="G96" s="469"/>
      <c r="H96" s="469"/>
      <c r="I96" s="470"/>
      <c r="J96" s="451" t="str">
        <f>IF(AND('Mapa final'!$K$79="Muy Baja",'Mapa final'!$O$79="Leve"),CONCATENATE("R",'Mapa final'!$A$79),"")</f>
        <v/>
      </c>
      <c r="K96" s="452"/>
      <c r="L96" s="452" t="str">
        <f>IF(AND('Mapa final'!$K$82="Muy Baja",'Mapa final'!$O$82="Leve"),CONCATENATE("R",'Mapa final'!$A$82),"")</f>
        <v/>
      </c>
      <c r="M96" s="452"/>
      <c r="N96" s="452" t="str">
        <f>IF(AND('Mapa final'!$K$85="Muy Baja",'Mapa final'!$O$85="Leve"),CONCATENATE("R",'Mapa final'!$A$85),"")</f>
        <v/>
      </c>
      <c r="O96" s="452"/>
      <c r="P96" s="452" t="str">
        <f>IF(AND('Mapa final'!$K$88="Muy Baja",'Mapa final'!$O$88="Leve"),CONCATENATE("R",'Mapa final'!$A$88),"")</f>
        <v/>
      </c>
      <c r="Q96" s="452"/>
      <c r="R96" s="452" t="str">
        <f>IF(AND('Mapa final'!$K$91="Muy Baja",'Mapa final'!$O$91="Leve"),CONCATENATE("R",'Mapa final'!$A$91),"")</f>
        <v/>
      </c>
      <c r="S96" s="500"/>
      <c r="T96" s="451" t="str">
        <f>IF(AND('Mapa final'!$K$79="Muy Baja",'Mapa final'!$O$79="Menor"),CONCATENATE("R",'Mapa final'!$A$79),"")</f>
        <v/>
      </c>
      <c r="U96" s="452"/>
      <c r="V96" s="452" t="str">
        <f>IF(AND('Mapa final'!$K$82="Muy Baja",'Mapa final'!$O$82="Menor"),CONCATENATE("R",'Mapa final'!$A$82),"")</f>
        <v/>
      </c>
      <c r="W96" s="452"/>
      <c r="X96" s="452" t="str">
        <f>IF(AND('Mapa final'!$K$85="Muy Baja",'Mapa final'!$O$85="Menor"),CONCATENATE("R",'Mapa final'!$A$85),"")</f>
        <v/>
      </c>
      <c r="Y96" s="452"/>
      <c r="Z96" s="452" t="str">
        <f>IF(AND('Mapa final'!$K$88="Muy Baja",'Mapa final'!$O$88="Menor"),CONCATENATE("R",'Mapa final'!$A$88),"")</f>
        <v/>
      </c>
      <c r="AA96" s="452"/>
      <c r="AB96" s="452" t="str">
        <f>IF(AND('Mapa final'!$K$91="Muy Baja",'Mapa final'!$O$91="Menor"),CONCATENATE("R",'Mapa final'!$A$91),"")</f>
        <v/>
      </c>
      <c r="AC96" s="500"/>
      <c r="AD96" s="457" t="str">
        <f>IF(AND('Mapa final'!$K$79="Muy Baja",'Mapa final'!$O$79="Moderado"),CONCATENATE("R",'Mapa final'!$A$79),"")</f>
        <v>R26</v>
      </c>
      <c r="AE96" s="458"/>
      <c r="AF96" s="458" t="str">
        <f>IF(AND('Mapa final'!$K$82="Muy Baja",'Mapa final'!$O$82="Moderado"),CONCATENATE("R",'Mapa final'!$A$82),"")</f>
        <v/>
      </c>
      <c r="AG96" s="458"/>
      <c r="AH96" s="458" t="str">
        <f>IF(AND('Mapa final'!$K$85="Muy Baja",'Mapa final'!$O$85="Moderado"),CONCATENATE("R",'Mapa final'!$A$85),"")</f>
        <v/>
      </c>
      <c r="AI96" s="458"/>
      <c r="AJ96" s="458" t="str">
        <f>IF(AND('Mapa final'!$K$88="Muy Baja",'Mapa final'!$O$88="Moderado"),CONCATENATE("R",'Mapa final'!$A$88),"")</f>
        <v/>
      </c>
      <c r="AK96" s="458"/>
      <c r="AL96" s="458" t="str">
        <f>IF(AND('Mapa final'!$K$91="Muy Baja",'Mapa final'!$O$91="Moderado"),CONCATENATE("R",'Mapa final'!$A$91),"")</f>
        <v/>
      </c>
      <c r="AM96" s="461"/>
      <c r="AN96" s="491" t="str">
        <f>IF(AND('Mapa final'!$K$79="Muy Baja",'Mapa final'!$O$79="Mayor"),CONCATENATE("R",'Mapa final'!$A$79),"")</f>
        <v/>
      </c>
      <c r="AO96" s="450"/>
      <c r="AP96" s="450" t="str">
        <f>IF(AND('Mapa final'!$K$82="Muy Baja",'Mapa final'!$O$82="Mayor"),CONCATENATE("R",'Mapa final'!$A$82),"")</f>
        <v/>
      </c>
      <c r="AQ96" s="450"/>
      <c r="AR96" s="450" t="str">
        <f>IF(AND('Mapa final'!$K$85="Muy Baja",'Mapa final'!$O$85="Mayor"),CONCATENATE("R",'Mapa final'!$A$85),"")</f>
        <v/>
      </c>
      <c r="AS96" s="450"/>
      <c r="AT96" s="450" t="str">
        <f>IF(AND('Mapa final'!$K$88="Muy Baja",'Mapa final'!$O$88="Mayor"),CONCATENATE("R",'Mapa final'!$A$88),"")</f>
        <v/>
      </c>
      <c r="AU96" s="450"/>
      <c r="AV96" s="450" t="str">
        <f>IF(AND('Mapa final'!$K$91="Muy Baja",'Mapa final'!$O$91="Mayor"),CONCATENATE("R",'Mapa final'!$A$91),"")</f>
        <v/>
      </c>
      <c r="AW96" s="490"/>
      <c r="AX96" s="482" t="str">
        <f>IF(AND('Mapa final'!$K$79="Muy Baja",'Mapa final'!$O$79="Catastrófico"),CONCATENATE("R",'Mapa final'!$A$79),"")</f>
        <v/>
      </c>
      <c r="AY96" s="480"/>
      <c r="AZ96" s="480" t="str">
        <f>IF(AND('Mapa final'!$K$82="Muy Baja",'Mapa final'!$O$82="Catastrófico"),CONCATENATE("R",'Mapa final'!$A$82),"")</f>
        <v/>
      </c>
      <c r="BA96" s="480"/>
      <c r="BB96" s="480" t="str">
        <f>IF(AND('Mapa final'!$K$85="Muy Baja",'Mapa final'!$O$85="Catastrófico"),CONCATENATE("R",'Mapa final'!$A$85),"")</f>
        <v/>
      </c>
      <c r="BC96" s="480"/>
      <c r="BD96" s="480" t="str">
        <f>IF(AND('Mapa final'!$K$88="Muy Baja",'Mapa final'!$O$88="Catastrófico"),CONCATENATE("R",'Mapa final'!$A$88),"")</f>
        <v/>
      </c>
      <c r="BE96" s="480"/>
      <c r="BF96" s="480" t="str">
        <f>IF(AND('Mapa final'!$K$91="Muy Baja",'Mapa final'!$O$91="Catastrófico"),CONCATENATE("R",'Mapa final'!$A$91),"")</f>
        <v/>
      </c>
      <c r="BG96" s="481"/>
      <c r="BH96" s="56"/>
      <c r="BI96" s="531"/>
      <c r="BJ96" s="532"/>
      <c r="BK96" s="532"/>
      <c r="BL96" s="532"/>
      <c r="BM96" s="532"/>
      <c r="BN96" s="533"/>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row>
    <row r="97" spans="1:100" ht="15" customHeight="1" thickBot="1" x14ac:dyDescent="0.4">
      <c r="A97" s="56"/>
      <c r="B97" s="307"/>
      <c r="C97" s="307"/>
      <c r="D97" s="308"/>
      <c r="E97" s="468"/>
      <c r="F97" s="469"/>
      <c r="G97" s="469"/>
      <c r="H97" s="469"/>
      <c r="I97" s="470"/>
      <c r="J97" s="451"/>
      <c r="K97" s="452"/>
      <c r="L97" s="452"/>
      <c r="M97" s="452"/>
      <c r="N97" s="452"/>
      <c r="O97" s="452"/>
      <c r="P97" s="452"/>
      <c r="Q97" s="452"/>
      <c r="R97" s="452"/>
      <c r="S97" s="500"/>
      <c r="T97" s="451"/>
      <c r="U97" s="452"/>
      <c r="V97" s="452"/>
      <c r="W97" s="452"/>
      <c r="X97" s="452"/>
      <c r="Y97" s="452"/>
      <c r="Z97" s="452"/>
      <c r="AA97" s="452"/>
      <c r="AB97" s="452"/>
      <c r="AC97" s="500"/>
      <c r="AD97" s="457"/>
      <c r="AE97" s="458"/>
      <c r="AF97" s="458"/>
      <c r="AG97" s="458"/>
      <c r="AH97" s="458"/>
      <c r="AI97" s="458"/>
      <c r="AJ97" s="458"/>
      <c r="AK97" s="458"/>
      <c r="AL97" s="458"/>
      <c r="AM97" s="461"/>
      <c r="AN97" s="491"/>
      <c r="AO97" s="450"/>
      <c r="AP97" s="450"/>
      <c r="AQ97" s="450"/>
      <c r="AR97" s="450"/>
      <c r="AS97" s="450"/>
      <c r="AT97" s="450"/>
      <c r="AU97" s="450"/>
      <c r="AV97" s="450"/>
      <c r="AW97" s="490"/>
      <c r="AX97" s="482"/>
      <c r="AY97" s="480"/>
      <c r="AZ97" s="480"/>
      <c r="BA97" s="480"/>
      <c r="BB97" s="480"/>
      <c r="BC97" s="480"/>
      <c r="BD97" s="480"/>
      <c r="BE97" s="480"/>
      <c r="BF97" s="480"/>
      <c r="BG97" s="481"/>
      <c r="BH97" s="56"/>
      <c r="BI97" s="534"/>
      <c r="BJ97" s="535"/>
      <c r="BK97" s="535"/>
      <c r="BL97" s="535"/>
      <c r="BM97" s="535"/>
      <c r="BN97" s="53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row>
    <row r="98" spans="1:100" ht="15" customHeight="1" x14ac:dyDescent="0.35">
      <c r="A98" s="56"/>
      <c r="B98" s="307"/>
      <c r="C98" s="307"/>
      <c r="D98" s="308"/>
      <c r="E98" s="468"/>
      <c r="F98" s="469"/>
      <c r="G98" s="469"/>
      <c r="H98" s="469"/>
      <c r="I98" s="470"/>
      <c r="J98" s="451" t="str">
        <f>IF(AND('Mapa final'!$K$94="Muy Baja",'Mapa final'!$O$94="Leve"),CONCATENATE("R",'Mapa final'!$A$94),"")</f>
        <v/>
      </c>
      <c r="K98" s="452"/>
      <c r="L98" s="452" t="e">
        <f>IF(AND('Mapa final'!#REF!="Muy Baja",'Mapa final'!#REF!="Leve"),CONCATENATE("R",'Mapa final'!#REF!),"")</f>
        <v>#REF!</v>
      </c>
      <c r="M98" s="452"/>
      <c r="N98" s="452" t="str">
        <f>IF(AND('Mapa final'!$K$97="Muy Baja",'Mapa final'!$O$97="Leve"),CONCATENATE("R",'Mapa final'!$A$97),"")</f>
        <v/>
      </c>
      <c r="O98" s="452"/>
      <c r="P98" s="452" t="str">
        <f>IF(AND('Mapa final'!$K$100="Muy Baja",'Mapa final'!$O$100="Leve"),CONCATENATE("R",'Mapa final'!$A$100),"")</f>
        <v/>
      </c>
      <c r="Q98" s="452"/>
      <c r="R98" s="452" t="str">
        <f>IF(AND('Mapa final'!$K$103="Muy Baja",'Mapa final'!$O$103="Leve"),CONCATENATE("R",'Mapa final'!$A$103),"")</f>
        <v/>
      </c>
      <c r="S98" s="500"/>
      <c r="T98" s="451" t="str">
        <f>IF(AND('Mapa final'!$K$94="Muy Baja",'Mapa final'!$O$94="Menor"),CONCATENATE("R",'Mapa final'!$A$94),"")</f>
        <v/>
      </c>
      <c r="U98" s="452"/>
      <c r="V98" s="452" t="e">
        <f>IF(AND('Mapa final'!#REF!="Muy Baja",'Mapa final'!#REF!="Menor"),CONCATENATE("R",'Mapa final'!#REF!),"")</f>
        <v>#REF!</v>
      </c>
      <c r="W98" s="452"/>
      <c r="X98" s="452" t="str">
        <f>IF(AND('Mapa final'!$K$97="Muy Baja",'Mapa final'!$O$97="Menor"),CONCATENATE("R",'Mapa final'!$A$97),"")</f>
        <v/>
      </c>
      <c r="Y98" s="452"/>
      <c r="Z98" s="452" t="str">
        <f>IF(AND('Mapa final'!$K$100="Muy Baja",'Mapa final'!$O$100="Menor"),CONCATENATE("R",'Mapa final'!$A$100),"")</f>
        <v/>
      </c>
      <c r="AA98" s="452"/>
      <c r="AB98" s="452" t="str">
        <f>IF(AND('Mapa final'!$K$103="Muy Baja",'Mapa final'!$O$103="Menor"),CONCATENATE("R",'Mapa final'!$A$103),"")</f>
        <v/>
      </c>
      <c r="AC98" s="500"/>
      <c r="AD98" s="457" t="str">
        <f>IF(AND('Mapa final'!$K$94="Muy Baja",'Mapa final'!$O$94="Moderado"),CONCATENATE("R",'Mapa final'!$A$94),"")</f>
        <v/>
      </c>
      <c r="AE98" s="458"/>
      <c r="AF98" s="458" t="e">
        <f>IF(AND('Mapa final'!#REF!="Muy Baja",'Mapa final'!#REF!="Moderado"),CONCATENATE("R",'Mapa final'!#REF!),"")</f>
        <v>#REF!</v>
      </c>
      <c r="AG98" s="458"/>
      <c r="AH98" s="458" t="str">
        <f>IF(AND('Mapa final'!$K$97="Muy Baja",'Mapa final'!$O$97="Moderado"),CONCATENATE("R",'Mapa final'!$A$97),"")</f>
        <v/>
      </c>
      <c r="AI98" s="458"/>
      <c r="AJ98" s="458" t="str">
        <f>IF(AND('Mapa final'!$K$100="Muy Baja",'Mapa final'!$O$100="Moderado"),CONCATENATE("R",'Mapa final'!$A$100),"")</f>
        <v/>
      </c>
      <c r="AK98" s="458"/>
      <c r="AL98" s="458" t="str">
        <f>IF(AND('Mapa final'!$K$103="Muy Baja",'Mapa final'!$O$103="Moderado"),CONCATENATE("R",'Mapa final'!$A$103),"")</f>
        <v/>
      </c>
      <c r="AM98" s="461"/>
      <c r="AN98" s="491" t="str">
        <f>IF(AND('Mapa final'!$K$94="Muy Baja",'Mapa final'!$O$94="Mayor"),CONCATENATE("R",'Mapa final'!$A$94),"")</f>
        <v/>
      </c>
      <c r="AO98" s="450"/>
      <c r="AP98" s="450" t="e">
        <f>IF(AND('Mapa final'!#REF!="Muy Baja",'Mapa final'!#REF!="Mayor"),CONCATENATE("R",'Mapa final'!#REF!),"")</f>
        <v>#REF!</v>
      </c>
      <c r="AQ98" s="450"/>
      <c r="AR98" s="450" t="str">
        <f>IF(AND('Mapa final'!$K$97="Muy Baja",'Mapa final'!$O$97="Mayor"),CONCATENATE("R",'Mapa final'!$A$97),"")</f>
        <v/>
      </c>
      <c r="AS98" s="450"/>
      <c r="AT98" s="450" t="str">
        <f>IF(AND('Mapa final'!$K$100="Muy Baja",'Mapa final'!$O$100="Mayor"),CONCATENATE("R",'Mapa final'!$A$100),"")</f>
        <v/>
      </c>
      <c r="AU98" s="450"/>
      <c r="AV98" s="450" t="str">
        <f>IF(AND('Mapa final'!$K$103="Muy Baja",'Mapa final'!$O$103="Mayor"),CONCATENATE("R",'Mapa final'!$A$103),"")</f>
        <v/>
      </c>
      <c r="AW98" s="490"/>
      <c r="AX98" s="482" t="str">
        <f>IF(AND('Mapa final'!$K$94="Muy Baja",'Mapa final'!$O$94="Catastrófico"),CONCATENATE("R",'Mapa final'!$A$94),"")</f>
        <v/>
      </c>
      <c r="AY98" s="480"/>
      <c r="AZ98" s="480" t="e">
        <f>IF(AND('Mapa final'!#REF!="Muy Baja",'Mapa final'!#REF!="Catastrófico"),CONCATENATE("R",'Mapa final'!#REF!),"")</f>
        <v>#REF!</v>
      </c>
      <c r="BA98" s="480"/>
      <c r="BB98" s="480" t="str">
        <f>IF(AND('Mapa final'!$K$97="Muy Baja",'Mapa final'!$O$97="Catastrófico"),CONCATENATE("R",'Mapa final'!$A$97),"")</f>
        <v/>
      </c>
      <c r="BC98" s="480"/>
      <c r="BD98" s="480" t="str">
        <f>IF(AND('Mapa final'!$K$100="Muy Baja",'Mapa final'!$O$100="Catastrófico"),CONCATENATE("R",'Mapa final'!$A$100),"")</f>
        <v/>
      </c>
      <c r="BE98" s="480"/>
      <c r="BF98" s="480" t="str">
        <f>IF(AND('Mapa final'!$K$103="Muy Baja",'Mapa final'!$O$103="Catastrófico"),CONCATENATE("R",'Mapa final'!$A$103),"")</f>
        <v/>
      </c>
      <c r="BG98" s="481"/>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row>
    <row r="99" spans="1:100" ht="15" customHeight="1" x14ac:dyDescent="0.35">
      <c r="A99" s="56"/>
      <c r="B99" s="307"/>
      <c r="C99" s="307"/>
      <c r="D99" s="308"/>
      <c r="E99" s="468"/>
      <c r="F99" s="469"/>
      <c r="G99" s="469"/>
      <c r="H99" s="469"/>
      <c r="I99" s="470"/>
      <c r="J99" s="451"/>
      <c r="K99" s="452"/>
      <c r="L99" s="452"/>
      <c r="M99" s="452"/>
      <c r="N99" s="452"/>
      <c r="O99" s="452"/>
      <c r="P99" s="452"/>
      <c r="Q99" s="452"/>
      <c r="R99" s="452"/>
      <c r="S99" s="500"/>
      <c r="T99" s="451"/>
      <c r="U99" s="452"/>
      <c r="V99" s="452"/>
      <c r="W99" s="452"/>
      <c r="X99" s="452"/>
      <c r="Y99" s="452"/>
      <c r="Z99" s="452"/>
      <c r="AA99" s="452"/>
      <c r="AB99" s="452"/>
      <c r="AC99" s="500"/>
      <c r="AD99" s="457"/>
      <c r="AE99" s="458"/>
      <c r="AF99" s="458"/>
      <c r="AG99" s="458"/>
      <c r="AH99" s="458"/>
      <c r="AI99" s="458"/>
      <c r="AJ99" s="458"/>
      <c r="AK99" s="458"/>
      <c r="AL99" s="458"/>
      <c r="AM99" s="461"/>
      <c r="AN99" s="491"/>
      <c r="AO99" s="450"/>
      <c r="AP99" s="450"/>
      <c r="AQ99" s="450"/>
      <c r="AR99" s="450"/>
      <c r="AS99" s="450"/>
      <c r="AT99" s="450"/>
      <c r="AU99" s="450"/>
      <c r="AV99" s="450"/>
      <c r="AW99" s="490"/>
      <c r="AX99" s="482"/>
      <c r="AY99" s="480"/>
      <c r="AZ99" s="480"/>
      <c r="BA99" s="480"/>
      <c r="BB99" s="480"/>
      <c r="BC99" s="480"/>
      <c r="BD99" s="480"/>
      <c r="BE99" s="480"/>
      <c r="BF99" s="480"/>
      <c r="BG99" s="481"/>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row>
    <row r="100" spans="1:100" ht="15" customHeight="1" x14ac:dyDescent="0.35">
      <c r="A100" s="56"/>
      <c r="B100" s="307"/>
      <c r="C100" s="307"/>
      <c r="D100" s="308"/>
      <c r="E100" s="468"/>
      <c r="F100" s="469"/>
      <c r="G100" s="469"/>
      <c r="H100" s="469"/>
      <c r="I100" s="470"/>
      <c r="J100" s="451" t="str">
        <f>IF(AND('Mapa final'!$K$106="Muy Baja",'Mapa final'!$O$106="Leve"),CONCATENATE("R",'Mapa final'!$A$106),"")</f>
        <v/>
      </c>
      <c r="K100" s="452"/>
      <c r="L100" s="452" t="str">
        <f>IF(AND('Mapa final'!$K$109="Muy Baja",'Mapa final'!$O$109="Leve"),CONCATENATE("R",'Mapa final'!$A$109),"")</f>
        <v/>
      </c>
      <c r="M100" s="452"/>
      <c r="N100" s="452" t="str">
        <f>IF(AND('Mapa final'!$K$112="Muy Baja",'Mapa final'!$O$112="Leve"),CONCATENATE("R",'Mapa final'!$A$112),"")</f>
        <v/>
      </c>
      <c r="O100" s="452"/>
      <c r="P100" s="452" t="str">
        <f>IF(AND('Mapa final'!$K$115="Muy Baja",'Mapa final'!$O$115="Leve"),CONCATENATE("R",'Mapa final'!$A$115),"")</f>
        <v/>
      </c>
      <c r="Q100" s="452"/>
      <c r="R100" s="452" t="str">
        <f>IF(AND('Mapa final'!$K$118="Muy Baja",'Mapa final'!$O$118="Leve"),CONCATENATE("R",'Mapa final'!$A$118),"")</f>
        <v/>
      </c>
      <c r="S100" s="500"/>
      <c r="T100" s="451" t="str">
        <f>IF(AND('Mapa final'!$K$106="Muy Baja",'Mapa final'!$O$106="Menor"),CONCATENATE("R",'Mapa final'!$A$106),"")</f>
        <v/>
      </c>
      <c r="U100" s="452"/>
      <c r="V100" s="452" t="str">
        <f>IF(AND('Mapa final'!$K$109="Muy Baja",'Mapa final'!$O$109="Menor"),CONCATENATE("R",'Mapa final'!$A$109),"")</f>
        <v/>
      </c>
      <c r="W100" s="452"/>
      <c r="X100" s="452" t="str">
        <f>IF(AND('Mapa final'!$K$112="Muy Baja",'Mapa final'!$O$112="Menor"),CONCATENATE("R",'Mapa final'!$A$112),"")</f>
        <v/>
      </c>
      <c r="Y100" s="452"/>
      <c r="Z100" s="452" t="str">
        <f>IF(AND('Mapa final'!$K$115="Muy Baja",'Mapa final'!$O$115="Menor"),CONCATENATE("R",'Mapa final'!$A$115),"")</f>
        <v/>
      </c>
      <c r="AA100" s="452"/>
      <c r="AB100" s="452" t="str">
        <f>IF(AND('Mapa final'!$K$118="Muy Baja",'Mapa final'!$O$118="Menor"),CONCATENATE("R",'Mapa final'!$A$118),"")</f>
        <v/>
      </c>
      <c r="AC100" s="500"/>
      <c r="AD100" s="457" t="str">
        <f>IF(AND('Mapa final'!$K$106="Muy Baja",'Mapa final'!$O$106="Moderado"),CONCATENATE("R",'Mapa final'!$A$106),"")</f>
        <v/>
      </c>
      <c r="AE100" s="458"/>
      <c r="AF100" s="458" t="str">
        <f>IF(AND('Mapa final'!$K$109="Muy Baja",'Mapa final'!$O$109="Moderado"),CONCATENATE("R",'Mapa final'!$A$109),"")</f>
        <v/>
      </c>
      <c r="AG100" s="458"/>
      <c r="AH100" s="458" t="str">
        <f>IF(AND('Mapa final'!$K$112="Muy Baja",'Mapa final'!$O$112="Moderado"),CONCATENATE("R",'Mapa final'!$A$112),"")</f>
        <v/>
      </c>
      <c r="AI100" s="458"/>
      <c r="AJ100" s="458" t="str">
        <f>IF(AND('Mapa final'!$K$115="Muy Baja",'Mapa final'!$O$115="Moderado"),CONCATENATE("R",'Mapa final'!$A$115),"")</f>
        <v/>
      </c>
      <c r="AK100" s="458"/>
      <c r="AL100" s="458" t="str">
        <f>IF(AND('Mapa final'!$K$118="Muy Baja",'Mapa final'!$O$118="Moderado"),CONCATENATE("R",'Mapa final'!$A$118),"")</f>
        <v/>
      </c>
      <c r="AM100" s="461"/>
      <c r="AN100" s="491" t="str">
        <f>IF(AND('Mapa final'!$K$106="Muy Baja",'Mapa final'!$O$106="Mayor"),CONCATENATE("R",'Mapa final'!$A$106),"")</f>
        <v/>
      </c>
      <c r="AO100" s="450"/>
      <c r="AP100" s="450" t="str">
        <f>IF(AND('Mapa final'!$K$109="Muy Baja",'Mapa final'!$O$109="Mayor"),CONCATENATE("R",'Mapa final'!$A$109),"")</f>
        <v/>
      </c>
      <c r="AQ100" s="450"/>
      <c r="AR100" s="450" t="str">
        <f>IF(AND('Mapa final'!$K$112="Muy Baja",'Mapa final'!$O$112="Mayor"),CONCATENATE("R",'Mapa final'!$A$112),"")</f>
        <v/>
      </c>
      <c r="AS100" s="450"/>
      <c r="AT100" s="450" t="str">
        <f>IF(AND('Mapa final'!$K$115="Muy Baja",'Mapa final'!$O$115="Mayor"),CONCATENATE("R",'Mapa final'!$A$115),"")</f>
        <v/>
      </c>
      <c r="AU100" s="450"/>
      <c r="AV100" s="450" t="str">
        <f>IF(AND('Mapa final'!$K$118="Muy Baja",'Mapa final'!$O$118="Mayor"),CONCATENATE("R",'Mapa final'!$A$118),"")</f>
        <v/>
      </c>
      <c r="AW100" s="490"/>
      <c r="AX100" s="482" t="str">
        <f>IF(AND('Mapa final'!$K$106="Muy Baja",'Mapa final'!$O$106="Catastrófico"),CONCATENATE("R",'Mapa final'!$A$106),"")</f>
        <v/>
      </c>
      <c r="AY100" s="480"/>
      <c r="AZ100" s="480" t="str">
        <f>IF(AND('Mapa final'!$K$109="Muy Baja",'Mapa final'!$O$109="Catastrófico"),CONCATENATE("R",'Mapa final'!$A$109),"")</f>
        <v/>
      </c>
      <c r="BA100" s="480"/>
      <c r="BB100" s="480" t="str">
        <f>IF(AND('Mapa final'!$K$112="Muy Baja",'Mapa final'!$O$112="Catastrófico"),CONCATENATE("R",'Mapa final'!$A$112),"")</f>
        <v/>
      </c>
      <c r="BC100" s="480"/>
      <c r="BD100" s="480" t="str">
        <f>IF(AND('Mapa final'!$K$115="Muy Baja",'Mapa final'!$O$115="Catastrófico"),CONCATENATE("R",'Mapa final'!$A$115),"")</f>
        <v/>
      </c>
      <c r="BE100" s="480"/>
      <c r="BF100" s="480" t="str">
        <f>IF(AND('Mapa final'!$K$118="Muy Baja",'Mapa final'!$O$118="Catastrófico"),CONCATENATE("R",'Mapa final'!$A$118),"")</f>
        <v/>
      </c>
      <c r="BG100" s="481"/>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row>
    <row r="101" spans="1:100" ht="15" customHeight="1" x14ac:dyDescent="0.35">
      <c r="A101" s="56"/>
      <c r="B101" s="307"/>
      <c r="C101" s="307"/>
      <c r="D101" s="308"/>
      <c r="E101" s="468"/>
      <c r="F101" s="469"/>
      <c r="G101" s="469"/>
      <c r="H101" s="469"/>
      <c r="I101" s="470"/>
      <c r="J101" s="451"/>
      <c r="K101" s="452"/>
      <c r="L101" s="452"/>
      <c r="M101" s="452"/>
      <c r="N101" s="452"/>
      <c r="O101" s="452"/>
      <c r="P101" s="452"/>
      <c r="Q101" s="452"/>
      <c r="R101" s="452"/>
      <c r="S101" s="500"/>
      <c r="T101" s="451"/>
      <c r="U101" s="452"/>
      <c r="V101" s="452"/>
      <c r="W101" s="452"/>
      <c r="X101" s="452"/>
      <c r="Y101" s="452"/>
      <c r="Z101" s="452"/>
      <c r="AA101" s="452"/>
      <c r="AB101" s="452"/>
      <c r="AC101" s="500"/>
      <c r="AD101" s="457"/>
      <c r="AE101" s="458"/>
      <c r="AF101" s="458"/>
      <c r="AG101" s="458"/>
      <c r="AH101" s="458"/>
      <c r="AI101" s="458"/>
      <c r="AJ101" s="458"/>
      <c r="AK101" s="458"/>
      <c r="AL101" s="458"/>
      <c r="AM101" s="461"/>
      <c r="AN101" s="491"/>
      <c r="AO101" s="450"/>
      <c r="AP101" s="450"/>
      <c r="AQ101" s="450"/>
      <c r="AR101" s="450"/>
      <c r="AS101" s="450"/>
      <c r="AT101" s="450"/>
      <c r="AU101" s="450"/>
      <c r="AV101" s="450"/>
      <c r="AW101" s="490"/>
      <c r="AX101" s="482"/>
      <c r="AY101" s="480"/>
      <c r="AZ101" s="480"/>
      <c r="BA101" s="480"/>
      <c r="BB101" s="480"/>
      <c r="BC101" s="480"/>
      <c r="BD101" s="480"/>
      <c r="BE101" s="480"/>
      <c r="BF101" s="480"/>
      <c r="BG101" s="481"/>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row>
    <row r="102" spans="1:100" ht="15" customHeight="1" x14ac:dyDescent="0.35">
      <c r="A102" s="56"/>
      <c r="B102" s="307"/>
      <c r="C102" s="307"/>
      <c r="D102" s="308"/>
      <c r="E102" s="468"/>
      <c r="F102" s="469"/>
      <c r="G102" s="469"/>
      <c r="H102" s="469"/>
      <c r="I102" s="470"/>
      <c r="J102" s="451" t="str">
        <f>IF(AND('Mapa final'!$K$121="Muy Baja",'Mapa final'!$O$121="Leve"),CONCATENATE("R",'Mapa final'!$A$121),"")</f>
        <v/>
      </c>
      <c r="K102" s="452"/>
      <c r="L102" s="452" t="str">
        <f>IF(AND('Mapa final'!$K$124="Muy Baja",'Mapa final'!$O$124="Leve"),CONCATENATE("R",'Mapa final'!$A$124),"")</f>
        <v/>
      </c>
      <c r="M102" s="452"/>
      <c r="N102" s="452" t="str">
        <f>IF(AND('Mapa final'!$K$127="Muy Baja",'Mapa final'!$O$127="Leve"),CONCATENATE("R",'Mapa final'!$A$127),"")</f>
        <v/>
      </c>
      <c r="O102" s="452"/>
      <c r="P102" s="452" t="str">
        <f>IF(AND('Mapa final'!$K$130="Muy Baja",'Mapa final'!$O$130="Leve"),CONCATENATE("R",'Mapa final'!$A$130),"")</f>
        <v/>
      </c>
      <c r="Q102" s="452"/>
      <c r="R102" s="452" t="str">
        <f>IF(AND('Mapa final'!$K$133="Muy Baja",'Mapa final'!$O$133="Leve"),CONCATENATE("R",'Mapa final'!$A$133),"")</f>
        <v/>
      </c>
      <c r="S102" s="500"/>
      <c r="T102" s="451" t="str">
        <f>IF(AND('Mapa final'!$K$121="Muy Baja",'Mapa final'!$O$121="Menor"),CONCATENATE("R",'Mapa final'!$A$121),"")</f>
        <v/>
      </c>
      <c r="U102" s="452"/>
      <c r="V102" s="452" t="str">
        <f>IF(AND('Mapa final'!$K$124="Muy Baja",'Mapa final'!$O$124="Menor"),CONCATENATE("R",'Mapa final'!$A$124),"")</f>
        <v/>
      </c>
      <c r="W102" s="452"/>
      <c r="X102" s="452" t="str">
        <f>IF(AND('Mapa final'!$K$127="Muy Baja",'Mapa final'!$O$127="Menor"),CONCATENATE("R",'Mapa final'!$A$127),"")</f>
        <v/>
      </c>
      <c r="Y102" s="452"/>
      <c r="Z102" s="452" t="str">
        <f>IF(AND('Mapa final'!$K$130="Muy Baja",'Mapa final'!$O$130="Menor"),CONCATENATE("R",'Mapa final'!$A$130),"")</f>
        <v/>
      </c>
      <c r="AA102" s="452"/>
      <c r="AB102" s="452" t="str">
        <f>IF(AND('Mapa final'!$K$133="Muy Baja",'Mapa final'!$O$133="Menor"),CONCATENATE("R",'Mapa final'!$A$133),"")</f>
        <v/>
      </c>
      <c r="AC102" s="500"/>
      <c r="AD102" s="457" t="str">
        <f>IF(AND('Mapa final'!$K$121="Muy Baja",'Mapa final'!$O$121="Moderado"),CONCATENATE("R",'Mapa final'!$A$121),"")</f>
        <v/>
      </c>
      <c r="AE102" s="458"/>
      <c r="AF102" s="458" t="str">
        <f>IF(AND('Mapa final'!$K$124="Muy Baja",'Mapa final'!$O$124="Moderado"),CONCATENATE("R",'Mapa final'!$A$124),"")</f>
        <v/>
      </c>
      <c r="AG102" s="458"/>
      <c r="AH102" s="458" t="str">
        <f>IF(AND('Mapa final'!$K$127="Muy Baja",'Mapa final'!$O$127="Moderado"),CONCATENATE("R",'Mapa final'!$A$127),"")</f>
        <v/>
      </c>
      <c r="AI102" s="458"/>
      <c r="AJ102" s="458" t="str">
        <f>IF(AND('Mapa final'!$K$130="Muy Baja",'Mapa final'!$O$130="Moderado"),CONCATENATE("R",'Mapa final'!$A$130),"")</f>
        <v/>
      </c>
      <c r="AK102" s="458"/>
      <c r="AL102" s="458" t="str">
        <f>IF(AND('Mapa final'!$K$133="Muy Baja",'Mapa final'!$O$133="Moderado"),CONCATENATE("R",'Mapa final'!$A$133),"")</f>
        <v/>
      </c>
      <c r="AM102" s="461"/>
      <c r="AN102" s="491" t="str">
        <f>IF(AND('Mapa final'!$K$121="Muy Baja",'Mapa final'!$O$121="Mayor"),CONCATENATE("R",'Mapa final'!$A$121),"")</f>
        <v/>
      </c>
      <c r="AO102" s="450"/>
      <c r="AP102" s="450" t="str">
        <f>IF(AND('Mapa final'!$K$124="Muy Baja",'Mapa final'!$O$124="Mayor"),CONCATENATE("R",'Mapa final'!$A$124),"")</f>
        <v/>
      </c>
      <c r="AQ102" s="450"/>
      <c r="AR102" s="450" t="str">
        <f>IF(AND('Mapa final'!$K$127="Muy Baja",'Mapa final'!$O$127="Mayor"),CONCATENATE("R",'Mapa final'!$A$127),"")</f>
        <v/>
      </c>
      <c r="AS102" s="450"/>
      <c r="AT102" s="450" t="str">
        <f>IF(AND('Mapa final'!$K$130="Muy Baja",'Mapa final'!$O$130="Mayor"),CONCATENATE("R",'Mapa final'!$A$130),"")</f>
        <v/>
      </c>
      <c r="AU102" s="450"/>
      <c r="AV102" s="450" t="str">
        <f>IF(AND('Mapa final'!$K$133="Muy Baja",'Mapa final'!$O$133="Mayor"),CONCATENATE("R",'Mapa final'!$A$133),"")</f>
        <v/>
      </c>
      <c r="AW102" s="490"/>
      <c r="AX102" s="482" t="str">
        <f>IF(AND('Mapa final'!$K$121="Muy Baja",'Mapa final'!$O$121="Catastrófico"),CONCATENATE("R",'Mapa final'!$A$121),"")</f>
        <v/>
      </c>
      <c r="AY102" s="480"/>
      <c r="AZ102" s="480" t="str">
        <f>IF(AND('Mapa final'!$K$124="Muy Baja",'Mapa final'!$O$124="Catastrófico"),CONCATENATE("R",'Mapa final'!$A$124),"")</f>
        <v/>
      </c>
      <c r="BA102" s="480"/>
      <c r="BB102" s="480" t="str">
        <f>IF(AND('Mapa final'!$K$127="Muy Baja",'Mapa final'!$O$127="Catastrófico"),CONCATENATE("R",'Mapa final'!$A$127),"")</f>
        <v/>
      </c>
      <c r="BC102" s="480"/>
      <c r="BD102" s="480" t="str">
        <f>IF(AND('Mapa final'!$K$130="Muy Baja",'Mapa final'!$O$130="Catastrófico"),CONCATENATE("R",'Mapa final'!$A$130),"")</f>
        <v/>
      </c>
      <c r="BE102" s="480"/>
      <c r="BF102" s="480" t="str">
        <f>IF(AND('Mapa final'!$K$133="Muy Baja",'Mapa final'!$O$133="Catastrófico"),CONCATENATE("R",'Mapa final'!$A$133),"")</f>
        <v/>
      </c>
      <c r="BG102" s="481"/>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row>
    <row r="103" spans="1:100" ht="15" customHeight="1" x14ac:dyDescent="0.35">
      <c r="A103" s="56"/>
      <c r="B103" s="307"/>
      <c r="C103" s="307"/>
      <c r="D103" s="308"/>
      <c r="E103" s="468"/>
      <c r="F103" s="469"/>
      <c r="G103" s="469"/>
      <c r="H103" s="469"/>
      <c r="I103" s="470"/>
      <c r="J103" s="451"/>
      <c r="K103" s="452"/>
      <c r="L103" s="452"/>
      <c r="M103" s="452"/>
      <c r="N103" s="452"/>
      <c r="O103" s="452"/>
      <c r="P103" s="452"/>
      <c r="Q103" s="452"/>
      <c r="R103" s="452"/>
      <c r="S103" s="500"/>
      <c r="T103" s="451"/>
      <c r="U103" s="452"/>
      <c r="V103" s="452"/>
      <c r="W103" s="452"/>
      <c r="X103" s="452"/>
      <c r="Y103" s="452"/>
      <c r="Z103" s="452"/>
      <c r="AA103" s="452"/>
      <c r="AB103" s="452"/>
      <c r="AC103" s="500"/>
      <c r="AD103" s="457"/>
      <c r="AE103" s="458"/>
      <c r="AF103" s="458"/>
      <c r="AG103" s="458"/>
      <c r="AH103" s="458"/>
      <c r="AI103" s="458"/>
      <c r="AJ103" s="458"/>
      <c r="AK103" s="458"/>
      <c r="AL103" s="458"/>
      <c r="AM103" s="461"/>
      <c r="AN103" s="491"/>
      <c r="AO103" s="450"/>
      <c r="AP103" s="450"/>
      <c r="AQ103" s="450"/>
      <c r="AR103" s="450"/>
      <c r="AS103" s="450"/>
      <c r="AT103" s="450"/>
      <c r="AU103" s="450"/>
      <c r="AV103" s="450"/>
      <c r="AW103" s="490"/>
      <c r="AX103" s="482"/>
      <c r="AY103" s="480"/>
      <c r="AZ103" s="480"/>
      <c r="BA103" s="480"/>
      <c r="BB103" s="480"/>
      <c r="BC103" s="480"/>
      <c r="BD103" s="480"/>
      <c r="BE103" s="480"/>
      <c r="BF103" s="480"/>
      <c r="BG103" s="481"/>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row>
    <row r="104" spans="1:100" ht="15" customHeight="1" x14ac:dyDescent="0.35">
      <c r="A104" s="56"/>
      <c r="B104" s="307"/>
      <c r="C104" s="307"/>
      <c r="D104" s="308"/>
      <c r="E104" s="468"/>
      <c r="F104" s="469"/>
      <c r="G104" s="469"/>
      <c r="H104" s="469"/>
      <c r="I104" s="470"/>
      <c r="J104" s="451" t="str">
        <f>IF(AND('Mapa final'!$K$136="Muy Baja",'Mapa final'!$O$136="Leve"),CONCATENATE("R",'Mapa final'!$A$136),"")</f>
        <v/>
      </c>
      <c r="K104" s="452"/>
      <c r="L104" s="452" t="str">
        <f>IF(AND('Mapa final'!$K$139="Muy Baja",'Mapa final'!$O$139="Leve"),CONCATENATE("R",'Mapa final'!$A$139),"")</f>
        <v/>
      </c>
      <c r="M104" s="452"/>
      <c r="N104" s="452" t="str">
        <f>IF(AND('Mapa final'!$K$142="Muy Baja",'Mapa final'!$O$142="Leve"),CONCATENATE("R",'Mapa final'!$A$142),"")</f>
        <v/>
      </c>
      <c r="O104" s="452"/>
      <c r="P104" s="452" t="str">
        <f>IF(AND('Mapa final'!$K$145="Muy Baja",'Mapa final'!$O$145="Leve"),CONCATENATE("R",'Mapa final'!$A$145),"")</f>
        <v/>
      </c>
      <c r="Q104" s="452"/>
      <c r="R104" s="452" t="str">
        <f>IF(AND('Mapa final'!$K$148="Muy Baja",'Mapa final'!$O$148="Leve"),CONCATENATE("R",'Mapa final'!$A$148),"")</f>
        <v/>
      </c>
      <c r="S104" s="500"/>
      <c r="T104" s="451" t="str">
        <f>IF(AND('Mapa final'!$K$136="Muy Baja",'Mapa final'!$O$136="Menor"),CONCATENATE("R",'Mapa final'!$A$136),"")</f>
        <v/>
      </c>
      <c r="U104" s="452"/>
      <c r="V104" s="452" t="str">
        <f>IF(AND('Mapa final'!$K$139="Muy Baja",'Mapa final'!$O$139="Menor"),CONCATENATE("R",'Mapa final'!$A$139),"")</f>
        <v/>
      </c>
      <c r="W104" s="452"/>
      <c r="X104" s="452" t="str">
        <f>IF(AND('Mapa final'!$K$142="Muy Baja",'Mapa final'!$O$142="Menor"),CONCATENATE("R",'Mapa final'!$A$142),"")</f>
        <v/>
      </c>
      <c r="Y104" s="452"/>
      <c r="Z104" s="452" t="str">
        <f>IF(AND('Mapa final'!$K$145="Muy Baja",'Mapa final'!$O$145="Menor"),CONCATENATE("R",'Mapa final'!$A$145),"")</f>
        <v/>
      </c>
      <c r="AA104" s="452"/>
      <c r="AB104" s="452" t="str">
        <f>IF(AND('Mapa final'!$K$148="Muy Baja",'Mapa final'!$O$148="Menor"),CONCATENATE("R",'Mapa final'!$A$148),"")</f>
        <v/>
      </c>
      <c r="AC104" s="500"/>
      <c r="AD104" s="457" t="str">
        <f>IF(AND('Mapa final'!$K$136="Muy Baja",'Mapa final'!$O$136="Moderado"),CONCATENATE("R",'Mapa final'!$A$136),"")</f>
        <v/>
      </c>
      <c r="AE104" s="458"/>
      <c r="AF104" s="458" t="str">
        <f>IF(AND('Mapa final'!$K$139="Muy Baja",'Mapa final'!$O$139="Moderado"),CONCATENATE("R",'Mapa final'!$A$139),"")</f>
        <v/>
      </c>
      <c r="AG104" s="458"/>
      <c r="AH104" s="458" t="str">
        <f>IF(AND('Mapa final'!$K$142="Muy Baja",'Mapa final'!$O$142="Moderado"),CONCATENATE("R",'Mapa final'!$A$142),"")</f>
        <v/>
      </c>
      <c r="AI104" s="458"/>
      <c r="AJ104" s="458" t="str">
        <f>IF(AND('Mapa final'!$K$145="Muy Baja",'Mapa final'!$O$145="Moderado"),CONCATENATE("R",'Mapa final'!$A$145),"")</f>
        <v/>
      </c>
      <c r="AK104" s="458"/>
      <c r="AL104" s="458" t="str">
        <f>IF(AND('Mapa final'!$K$148="Muy Baja",'Mapa final'!$O$148="Moderado"),CONCATENATE("R",'Mapa final'!$A$148),"")</f>
        <v/>
      </c>
      <c r="AM104" s="461"/>
      <c r="AN104" s="491" t="str">
        <f>IF(AND('Mapa final'!$K$136="Muy Baja",'Mapa final'!$O$136="Mayor"),CONCATENATE("R",'Mapa final'!$A$136),"")</f>
        <v/>
      </c>
      <c r="AO104" s="450"/>
      <c r="AP104" s="450" t="str">
        <f>IF(AND('Mapa final'!$K$139="Muy Baja",'Mapa final'!$O$139="Mayor"),CONCATENATE("R",'Mapa final'!$A$139),"")</f>
        <v/>
      </c>
      <c r="AQ104" s="450"/>
      <c r="AR104" s="450" t="str">
        <f>IF(AND('Mapa final'!$K$142="Muy Baja",'Mapa final'!$O$142="Mayor"),CONCATENATE("R",'Mapa final'!$A$142),"")</f>
        <v/>
      </c>
      <c r="AS104" s="450"/>
      <c r="AT104" s="450" t="str">
        <f>IF(AND('Mapa final'!$K$145="Muy Baja",'Mapa final'!$O$145="Mayor"),CONCATENATE("R",'Mapa final'!$A$145),"")</f>
        <v/>
      </c>
      <c r="AU104" s="450"/>
      <c r="AV104" s="450" t="str">
        <f>IF(AND('Mapa final'!$K$148="Muy Baja",'Mapa final'!$O$148="Mayor"),CONCATENATE("R",'Mapa final'!$A$148),"")</f>
        <v/>
      </c>
      <c r="AW104" s="490"/>
      <c r="AX104" s="482" t="str">
        <f>IF(AND('Mapa final'!$K$136="Muy Baja",'Mapa final'!$O$136="Catastrófico"),CONCATENATE("R",'Mapa final'!$A$136),"")</f>
        <v/>
      </c>
      <c r="AY104" s="480"/>
      <c r="AZ104" s="480" t="str">
        <f>IF(AND('Mapa final'!$K$139="Muy Baja",'Mapa final'!$O$139="Catastrófico"),CONCATENATE("R",'Mapa final'!$A$139),"")</f>
        <v/>
      </c>
      <c r="BA104" s="480"/>
      <c r="BB104" s="480" t="str">
        <f>IF(AND('Mapa final'!$K$142="Muy Baja",'Mapa final'!$O$142="Catastrófico"),CONCATENATE("R",'Mapa final'!$A$142),"")</f>
        <v/>
      </c>
      <c r="BC104" s="480"/>
      <c r="BD104" s="480" t="str">
        <f>IF(AND('Mapa final'!$K$145="Muy Baja",'Mapa final'!$O$145="Catastrófico"),CONCATENATE("R",'Mapa final'!$A$145),"")</f>
        <v/>
      </c>
      <c r="BE104" s="480"/>
      <c r="BF104" s="480" t="str">
        <f>IF(AND('Mapa final'!$K$148="Muy Baja",'Mapa final'!$O$148="Catastrófico"),CONCATENATE("R",'Mapa final'!$A$148),"")</f>
        <v/>
      </c>
      <c r="BG104" s="481"/>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row>
    <row r="105" spans="1:100" ht="15.75" customHeight="1" thickBot="1" x14ac:dyDescent="0.4">
      <c r="A105" s="56"/>
      <c r="B105" s="307"/>
      <c r="C105" s="307"/>
      <c r="D105" s="308"/>
      <c r="E105" s="471"/>
      <c r="F105" s="472"/>
      <c r="G105" s="472"/>
      <c r="H105" s="472"/>
      <c r="I105" s="473"/>
      <c r="J105" s="453"/>
      <c r="K105" s="454"/>
      <c r="L105" s="454"/>
      <c r="M105" s="454"/>
      <c r="N105" s="454"/>
      <c r="O105" s="454"/>
      <c r="P105" s="454"/>
      <c r="Q105" s="454"/>
      <c r="R105" s="454"/>
      <c r="S105" s="537"/>
      <c r="T105" s="453"/>
      <c r="U105" s="454"/>
      <c r="V105" s="454"/>
      <c r="W105" s="454"/>
      <c r="X105" s="454"/>
      <c r="Y105" s="454"/>
      <c r="Z105" s="454"/>
      <c r="AA105" s="454"/>
      <c r="AB105" s="454"/>
      <c r="AC105" s="537"/>
      <c r="AD105" s="459"/>
      <c r="AE105" s="460"/>
      <c r="AF105" s="460"/>
      <c r="AG105" s="460"/>
      <c r="AH105" s="460"/>
      <c r="AI105" s="460"/>
      <c r="AJ105" s="460"/>
      <c r="AK105" s="460"/>
      <c r="AL105" s="460"/>
      <c r="AM105" s="462"/>
      <c r="AN105" s="492"/>
      <c r="AO105" s="489"/>
      <c r="AP105" s="489"/>
      <c r="AQ105" s="489"/>
      <c r="AR105" s="489"/>
      <c r="AS105" s="489"/>
      <c r="AT105" s="489"/>
      <c r="AU105" s="489"/>
      <c r="AV105" s="489"/>
      <c r="AW105" s="493"/>
      <c r="AX105" s="483"/>
      <c r="AY105" s="484"/>
      <c r="AZ105" s="484"/>
      <c r="BA105" s="484"/>
      <c r="BB105" s="484"/>
      <c r="BC105" s="484"/>
      <c r="BD105" s="484"/>
      <c r="BE105" s="484"/>
      <c r="BF105" s="484"/>
      <c r="BG105" s="485"/>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row>
    <row r="106" spans="1:100" x14ac:dyDescent="0.35">
      <c r="A106" s="56"/>
      <c r="B106" s="56"/>
      <c r="C106" s="56"/>
      <c r="D106" s="56"/>
      <c r="E106" s="56"/>
      <c r="F106" s="56"/>
      <c r="G106" s="56"/>
      <c r="H106" s="56"/>
      <c r="I106" s="56"/>
      <c r="J106" s="497" t="s">
        <v>103</v>
      </c>
      <c r="K106" s="474"/>
      <c r="L106" s="474"/>
      <c r="M106" s="474"/>
      <c r="N106" s="474"/>
      <c r="O106" s="474"/>
      <c r="P106" s="474"/>
      <c r="Q106" s="474"/>
      <c r="R106" s="474"/>
      <c r="S106" s="470"/>
      <c r="T106" s="497" t="s">
        <v>102</v>
      </c>
      <c r="U106" s="474"/>
      <c r="V106" s="474"/>
      <c r="W106" s="474"/>
      <c r="X106" s="474"/>
      <c r="Y106" s="474"/>
      <c r="Z106" s="474"/>
      <c r="AA106" s="474"/>
      <c r="AB106" s="474"/>
      <c r="AC106" s="470"/>
      <c r="AD106" s="497" t="s">
        <v>101</v>
      </c>
      <c r="AE106" s="474"/>
      <c r="AF106" s="474"/>
      <c r="AG106" s="474"/>
      <c r="AH106" s="474"/>
      <c r="AI106" s="474"/>
      <c r="AJ106" s="474"/>
      <c r="AK106" s="474"/>
      <c r="AL106" s="474"/>
      <c r="AM106" s="470"/>
      <c r="AN106" s="497" t="s">
        <v>100</v>
      </c>
      <c r="AO106" s="498"/>
      <c r="AP106" s="498"/>
      <c r="AQ106" s="498"/>
      <c r="AR106" s="498"/>
      <c r="AS106" s="498"/>
      <c r="AT106" s="474"/>
      <c r="AU106" s="474"/>
      <c r="AV106" s="474"/>
      <c r="AW106" s="470"/>
      <c r="AX106" s="497" t="s">
        <v>99</v>
      </c>
      <c r="AY106" s="474"/>
      <c r="AZ106" s="474"/>
      <c r="BA106" s="474"/>
      <c r="BB106" s="474"/>
      <c r="BC106" s="474"/>
      <c r="BD106" s="474"/>
      <c r="BE106" s="474"/>
      <c r="BF106" s="474"/>
      <c r="BG106" s="470"/>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row>
    <row r="107" spans="1:100" x14ac:dyDescent="0.35">
      <c r="A107" s="56"/>
      <c r="B107" s="56"/>
      <c r="C107" s="56"/>
      <c r="D107" s="56"/>
      <c r="E107" s="56"/>
      <c r="F107" s="56"/>
      <c r="G107" s="56"/>
      <c r="H107" s="56"/>
      <c r="I107" s="56"/>
      <c r="J107" s="468"/>
      <c r="K107" s="469"/>
      <c r="L107" s="469"/>
      <c r="M107" s="469"/>
      <c r="N107" s="469"/>
      <c r="O107" s="469"/>
      <c r="P107" s="469"/>
      <c r="Q107" s="469"/>
      <c r="R107" s="469"/>
      <c r="S107" s="470"/>
      <c r="T107" s="468"/>
      <c r="U107" s="469"/>
      <c r="V107" s="469"/>
      <c r="W107" s="469"/>
      <c r="X107" s="469"/>
      <c r="Y107" s="469"/>
      <c r="Z107" s="469"/>
      <c r="AA107" s="469"/>
      <c r="AB107" s="469"/>
      <c r="AC107" s="470"/>
      <c r="AD107" s="468"/>
      <c r="AE107" s="469"/>
      <c r="AF107" s="469"/>
      <c r="AG107" s="469"/>
      <c r="AH107" s="469"/>
      <c r="AI107" s="469"/>
      <c r="AJ107" s="469"/>
      <c r="AK107" s="469"/>
      <c r="AL107" s="469"/>
      <c r="AM107" s="470"/>
      <c r="AN107" s="468"/>
      <c r="AO107" s="469"/>
      <c r="AP107" s="469"/>
      <c r="AQ107" s="469"/>
      <c r="AR107" s="469"/>
      <c r="AS107" s="469"/>
      <c r="AT107" s="469"/>
      <c r="AU107" s="469"/>
      <c r="AV107" s="469"/>
      <c r="AW107" s="470"/>
      <c r="AX107" s="468"/>
      <c r="AY107" s="469"/>
      <c r="AZ107" s="469"/>
      <c r="BA107" s="469"/>
      <c r="BB107" s="469"/>
      <c r="BC107" s="469"/>
      <c r="BD107" s="469"/>
      <c r="BE107" s="469"/>
      <c r="BF107" s="469"/>
      <c r="BG107" s="470"/>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row>
    <row r="108" spans="1:100" x14ac:dyDescent="0.35">
      <c r="A108" s="56"/>
      <c r="B108" s="56"/>
      <c r="C108" s="56"/>
      <c r="D108" s="56"/>
      <c r="E108" s="56"/>
      <c r="F108" s="56"/>
      <c r="G108" s="56"/>
      <c r="H108" s="56"/>
      <c r="I108" s="56"/>
      <c r="J108" s="468"/>
      <c r="K108" s="469"/>
      <c r="L108" s="469"/>
      <c r="M108" s="469"/>
      <c r="N108" s="469"/>
      <c r="O108" s="469"/>
      <c r="P108" s="469"/>
      <c r="Q108" s="469"/>
      <c r="R108" s="469"/>
      <c r="S108" s="470"/>
      <c r="T108" s="468"/>
      <c r="U108" s="469"/>
      <c r="V108" s="469"/>
      <c r="W108" s="469"/>
      <c r="X108" s="469"/>
      <c r="Y108" s="469"/>
      <c r="Z108" s="469"/>
      <c r="AA108" s="469"/>
      <c r="AB108" s="469"/>
      <c r="AC108" s="470"/>
      <c r="AD108" s="468"/>
      <c r="AE108" s="469"/>
      <c r="AF108" s="469"/>
      <c r="AG108" s="469"/>
      <c r="AH108" s="469"/>
      <c r="AI108" s="469"/>
      <c r="AJ108" s="469"/>
      <c r="AK108" s="469"/>
      <c r="AL108" s="469"/>
      <c r="AM108" s="470"/>
      <c r="AN108" s="468"/>
      <c r="AO108" s="469"/>
      <c r="AP108" s="469"/>
      <c r="AQ108" s="469"/>
      <c r="AR108" s="469"/>
      <c r="AS108" s="469"/>
      <c r="AT108" s="469"/>
      <c r="AU108" s="469"/>
      <c r="AV108" s="469"/>
      <c r="AW108" s="470"/>
      <c r="AX108" s="468"/>
      <c r="AY108" s="469"/>
      <c r="AZ108" s="469"/>
      <c r="BA108" s="469"/>
      <c r="BB108" s="469"/>
      <c r="BC108" s="469"/>
      <c r="BD108" s="469"/>
      <c r="BE108" s="469"/>
      <c r="BF108" s="469"/>
      <c r="BG108" s="470"/>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row>
    <row r="109" spans="1:100" x14ac:dyDescent="0.35">
      <c r="A109" s="56"/>
      <c r="B109" s="56"/>
      <c r="C109" s="56"/>
      <c r="D109" s="56"/>
      <c r="E109" s="56"/>
      <c r="F109" s="56"/>
      <c r="G109" s="56"/>
      <c r="H109" s="56"/>
      <c r="I109" s="56"/>
      <c r="J109" s="468"/>
      <c r="K109" s="469"/>
      <c r="L109" s="469"/>
      <c r="M109" s="469"/>
      <c r="N109" s="469"/>
      <c r="O109" s="469"/>
      <c r="P109" s="469"/>
      <c r="Q109" s="469"/>
      <c r="R109" s="469"/>
      <c r="S109" s="470"/>
      <c r="T109" s="468"/>
      <c r="U109" s="469"/>
      <c r="V109" s="469"/>
      <c r="W109" s="469"/>
      <c r="X109" s="469"/>
      <c r="Y109" s="469"/>
      <c r="Z109" s="469"/>
      <c r="AA109" s="469"/>
      <c r="AB109" s="469"/>
      <c r="AC109" s="470"/>
      <c r="AD109" s="468"/>
      <c r="AE109" s="469"/>
      <c r="AF109" s="469"/>
      <c r="AG109" s="469"/>
      <c r="AH109" s="469"/>
      <c r="AI109" s="469"/>
      <c r="AJ109" s="469"/>
      <c r="AK109" s="469"/>
      <c r="AL109" s="469"/>
      <c r="AM109" s="470"/>
      <c r="AN109" s="468"/>
      <c r="AO109" s="469"/>
      <c r="AP109" s="469"/>
      <c r="AQ109" s="469"/>
      <c r="AR109" s="469"/>
      <c r="AS109" s="469"/>
      <c r="AT109" s="469"/>
      <c r="AU109" s="469"/>
      <c r="AV109" s="469"/>
      <c r="AW109" s="470"/>
      <c r="AX109" s="468"/>
      <c r="AY109" s="469"/>
      <c r="AZ109" s="469"/>
      <c r="BA109" s="469"/>
      <c r="BB109" s="469"/>
      <c r="BC109" s="469"/>
      <c r="BD109" s="469"/>
      <c r="BE109" s="469"/>
      <c r="BF109" s="469"/>
      <c r="BG109" s="470"/>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row>
    <row r="110" spans="1:100" x14ac:dyDescent="0.35">
      <c r="A110" s="56"/>
      <c r="B110" s="56"/>
      <c r="C110" s="56"/>
      <c r="D110" s="56"/>
      <c r="E110" s="56"/>
      <c r="F110" s="56"/>
      <c r="G110" s="56"/>
      <c r="H110" s="56"/>
      <c r="I110" s="56"/>
      <c r="J110" s="468"/>
      <c r="K110" s="469"/>
      <c r="L110" s="469"/>
      <c r="M110" s="469"/>
      <c r="N110" s="469"/>
      <c r="O110" s="469"/>
      <c r="P110" s="469"/>
      <c r="Q110" s="469"/>
      <c r="R110" s="469"/>
      <c r="S110" s="470"/>
      <c r="T110" s="468"/>
      <c r="U110" s="469"/>
      <c r="V110" s="469"/>
      <c r="W110" s="469"/>
      <c r="X110" s="469"/>
      <c r="Y110" s="469"/>
      <c r="Z110" s="469"/>
      <c r="AA110" s="469"/>
      <c r="AB110" s="469"/>
      <c r="AC110" s="470"/>
      <c r="AD110" s="468"/>
      <c r="AE110" s="469"/>
      <c r="AF110" s="469"/>
      <c r="AG110" s="469"/>
      <c r="AH110" s="469"/>
      <c r="AI110" s="469"/>
      <c r="AJ110" s="469"/>
      <c r="AK110" s="469"/>
      <c r="AL110" s="469"/>
      <c r="AM110" s="470"/>
      <c r="AN110" s="468"/>
      <c r="AO110" s="469"/>
      <c r="AP110" s="469"/>
      <c r="AQ110" s="469"/>
      <c r="AR110" s="469"/>
      <c r="AS110" s="469"/>
      <c r="AT110" s="469"/>
      <c r="AU110" s="469"/>
      <c r="AV110" s="469"/>
      <c r="AW110" s="470"/>
      <c r="AX110" s="468"/>
      <c r="AY110" s="469"/>
      <c r="AZ110" s="469"/>
      <c r="BA110" s="469"/>
      <c r="BB110" s="469"/>
      <c r="BC110" s="469"/>
      <c r="BD110" s="469"/>
      <c r="BE110" s="469"/>
      <c r="BF110" s="469"/>
      <c r="BG110" s="470"/>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row>
    <row r="111" spans="1:100" ht="15" thickBot="1" x14ac:dyDescent="0.4">
      <c r="A111" s="56"/>
      <c r="B111" s="56"/>
      <c r="C111" s="56"/>
      <c r="D111" s="56"/>
      <c r="E111" s="56"/>
      <c r="F111" s="56"/>
      <c r="G111" s="56"/>
      <c r="H111" s="56"/>
      <c r="I111" s="56"/>
      <c r="J111" s="471"/>
      <c r="K111" s="472"/>
      <c r="L111" s="472"/>
      <c r="M111" s="472"/>
      <c r="N111" s="472"/>
      <c r="O111" s="472"/>
      <c r="P111" s="472"/>
      <c r="Q111" s="472"/>
      <c r="R111" s="472"/>
      <c r="S111" s="473"/>
      <c r="T111" s="471"/>
      <c r="U111" s="472"/>
      <c r="V111" s="472"/>
      <c r="W111" s="472"/>
      <c r="X111" s="472"/>
      <c r="Y111" s="472"/>
      <c r="Z111" s="472"/>
      <c r="AA111" s="472"/>
      <c r="AB111" s="472"/>
      <c r="AC111" s="473"/>
      <c r="AD111" s="471"/>
      <c r="AE111" s="472"/>
      <c r="AF111" s="472"/>
      <c r="AG111" s="472"/>
      <c r="AH111" s="472"/>
      <c r="AI111" s="472"/>
      <c r="AJ111" s="472"/>
      <c r="AK111" s="472"/>
      <c r="AL111" s="472"/>
      <c r="AM111" s="473"/>
      <c r="AN111" s="471"/>
      <c r="AO111" s="472"/>
      <c r="AP111" s="472"/>
      <c r="AQ111" s="472"/>
      <c r="AR111" s="472"/>
      <c r="AS111" s="472"/>
      <c r="AT111" s="472"/>
      <c r="AU111" s="472"/>
      <c r="AV111" s="472"/>
      <c r="AW111" s="473"/>
      <c r="AX111" s="471"/>
      <c r="AY111" s="472"/>
      <c r="AZ111" s="472"/>
      <c r="BA111" s="472"/>
      <c r="BB111" s="472"/>
      <c r="BC111" s="472"/>
      <c r="BD111" s="472"/>
      <c r="BE111" s="472"/>
      <c r="BF111" s="472"/>
      <c r="BG111" s="473"/>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row>
    <row r="112" spans="1:100" x14ac:dyDescent="0.3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row>
    <row r="113" spans="1:100" ht="15" customHeight="1" x14ac:dyDescent="0.35">
      <c r="A113" s="56"/>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row>
    <row r="114" spans="1:100" ht="15" customHeight="1" x14ac:dyDescent="0.35">
      <c r="A114" s="56"/>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row>
    <row r="115" spans="1:100" x14ac:dyDescent="0.3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row>
    <row r="116" spans="1:100" x14ac:dyDescent="0.3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row>
    <row r="117" spans="1:100" x14ac:dyDescent="0.3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row>
    <row r="118" spans="1:100" x14ac:dyDescent="0.3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row>
    <row r="119" spans="1:100" x14ac:dyDescent="0.3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row>
    <row r="120" spans="1:100" x14ac:dyDescent="0.3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row>
    <row r="121" spans="1:100" ht="21" x14ac:dyDescent="0.3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60"/>
      <c r="BJ121" s="60"/>
      <c r="BK121" s="60"/>
      <c r="BL121" s="60"/>
      <c r="BM121" s="60"/>
      <c r="BN121" s="60"/>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row>
    <row r="122" spans="1:100" ht="21" x14ac:dyDescent="0.3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60"/>
      <c r="BJ122" s="60"/>
      <c r="BK122" s="60"/>
      <c r="BL122" s="60"/>
      <c r="BM122" s="60"/>
      <c r="BN122" s="60"/>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row>
    <row r="123" spans="1:100" x14ac:dyDescent="0.3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row>
    <row r="124" spans="1:100" x14ac:dyDescent="0.3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row>
    <row r="125" spans="1:100" x14ac:dyDescent="0.3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row>
    <row r="126" spans="1:100" x14ac:dyDescent="0.3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row>
    <row r="127" spans="1:100" x14ac:dyDescent="0.3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row>
    <row r="128" spans="1:100" x14ac:dyDescent="0.3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row>
    <row r="129" spans="1:100" x14ac:dyDescent="0.3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row>
    <row r="130" spans="1:100" x14ac:dyDescent="0.3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row>
    <row r="131" spans="1:100" x14ac:dyDescent="0.3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row>
    <row r="132" spans="1:100" x14ac:dyDescent="0.3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row>
    <row r="133" spans="1:100" x14ac:dyDescent="0.3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row>
    <row r="134" spans="1:100" x14ac:dyDescent="0.3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row>
    <row r="135" spans="1:100" x14ac:dyDescent="0.3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row>
    <row r="136" spans="1:100" x14ac:dyDescent="0.3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row>
    <row r="137" spans="1:100" x14ac:dyDescent="0.3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row>
    <row r="138" spans="1:100" x14ac:dyDescent="0.3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row>
    <row r="139" spans="1:100" x14ac:dyDescent="0.3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row>
    <row r="140" spans="1:100" x14ac:dyDescent="0.3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row>
    <row r="141" spans="1:100" x14ac:dyDescent="0.3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row>
    <row r="142" spans="1:100" x14ac:dyDescent="0.3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row>
    <row r="143" spans="1:100" x14ac:dyDescent="0.3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row>
    <row r="144" spans="1:100" x14ac:dyDescent="0.3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row>
    <row r="145" spans="1:83" x14ac:dyDescent="0.3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row>
    <row r="146" spans="1:83" x14ac:dyDescent="0.3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row>
    <row r="147" spans="1:83" x14ac:dyDescent="0.3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row>
    <row r="148" spans="1:83" x14ac:dyDescent="0.3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row>
    <row r="149" spans="1:83" x14ac:dyDescent="0.3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row>
    <row r="150" spans="1:83" x14ac:dyDescent="0.3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row>
    <row r="151" spans="1:83" x14ac:dyDescent="0.3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row>
    <row r="152" spans="1:83" x14ac:dyDescent="0.3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row>
    <row r="153" spans="1:83" x14ac:dyDescent="0.3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row>
    <row r="154" spans="1:83" x14ac:dyDescent="0.3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row>
    <row r="155" spans="1:83" x14ac:dyDescent="0.3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row>
    <row r="156" spans="1:83" x14ac:dyDescent="0.3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row>
    <row r="157" spans="1:83" x14ac:dyDescent="0.3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row>
    <row r="158" spans="1:83" x14ac:dyDescent="0.3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row>
    <row r="159" spans="1:83" x14ac:dyDescent="0.3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row>
    <row r="160" spans="1:83" x14ac:dyDescent="0.3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row>
    <row r="161" spans="1:83" x14ac:dyDescent="0.3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row>
    <row r="162" spans="1:83" x14ac:dyDescent="0.3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row>
    <row r="163" spans="1:83" x14ac:dyDescent="0.3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row>
    <row r="164" spans="1:83" x14ac:dyDescent="0.3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row>
    <row r="165" spans="1:83" x14ac:dyDescent="0.3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row>
    <row r="166" spans="1:83" x14ac:dyDescent="0.3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row>
    <row r="167" spans="1:83" x14ac:dyDescent="0.3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row>
    <row r="168" spans="1:83" x14ac:dyDescent="0.3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row>
    <row r="169" spans="1:83" x14ac:dyDescent="0.3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row>
    <row r="170" spans="1:83" x14ac:dyDescent="0.3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row>
    <row r="171" spans="1:83" x14ac:dyDescent="0.3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row>
    <row r="172" spans="1:83" x14ac:dyDescent="0.3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row>
    <row r="173" spans="1:83" x14ac:dyDescent="0.3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row>
    <row r="174" spans="1:83" x14ac:dyDescent="0.3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row>
    <row r="175" spans="1:83" x14ac:dyDescent="0.3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row>
    <row r="176" spans="1:83" x14ac:dyDescent="0.3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row>
    <row r="177" spans="1:83" x14ac:dyDescent="0.3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row>
    <row r="178" spans="1:83" x14ac:dyDescent="0.3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row>
    <row r="179" spans="1:83" x14ac:dyDescent="0.3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row>
    <row r="180" spans="1:83" x14ac:dyDescent="0.3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row>
    <row r="181" spans="1:83" x14ac:dyDescent="0.3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row>
    <row r="182" spans="1:83" x14ac:dyDescent="0.3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row>
    <row r="183" spans="1:83" x14ac:dyDescent="0.3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row>
    <row r="184" spans="1:83" x14ac:dyDescent="0.3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row>
    <row r="185" spans="1:83" x14ac:dyDescent="0.3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row>
    <row r="186" spans="1:83" x14ac:dyDescent="0.3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row>
    <row r="187" spans="1:83" x14ac:dyDescent="0.3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row>
    <row r="188" spans="1:83" x14ac:dyDescent="0.3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row>
    <row r="189" spans="1:83" x14ac:dyDescent="0.3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row>
    <row r="190" spans="1:83" x14ac:dyDescent="0.3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row>
    <row r="191" spans="1:83" x14ac:dyDescent="0.3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row>
    <row r="192" spans="1:83" x14ac:dyDescent="0.3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row>
    <row r="193" spans="2:83" x14ac:dyDescent="0.3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row>
    <row r="194" spans="2:83" x14ac:dyDescent="0.3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row>
    <row r="195" spans="2:83" x14ac:dyDescent="0.3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row>
    <row r="196" spans="2:83" x14ac:dyDescent="0.3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row>
    <row r="197" spans="2:83" x14ac:dyDescent="0.35">
      <c r="B197" s="56"/>
      <c r="C197" s="56"/>
      <c r="D197" s="56"/>
      <c r="E197" s="56"/>
      <c r="F197" s="56"/>
      <c r="G197" s="56"/>
      <c r="H197" s="56"/>
      <c r="I197" s="56"/>
      <c r="BI197" s="56"/>
      <c r="BJ197" s="56"/>
      <c r="BK197" s="56"/>
      <c r="BL197" s="56"/>
      <c r="BM197" s="56"/>
      <c r="BN197" s="56"/>
    </row>
    <row r="198" spans="2:83" x14ac:dyDescent="0.35">
      <c r="B198" s="56"/>
      <c r="C198" s="56"/>
      <c r="D198" s="56"/>
      <c r="E198" s="56"/>
      <c r="F198" s="56"/>
      <c r="G198" s="56"/>
      <c r="H198" s="56"/>
      <c r="I198" s="56"/>
      <c r="BI198" s="56"/>
      <c r="BJ198" s="56"/>
      <c r="BK198" s="56"/>
      <c r="BL198" s="56"/>
      <c r="BM198" s="56"/>
      <c r="BN198" s="56"/>
    </row>
    <row r="199" spans="2:83" x14ac:dyDescent="0.35">
      <c r="B199" s="56"/>
      <c r="C199" s="56"/>
      <c r="D199" s="56"/>
      <c r="E199" s="56"/>
      <c r="F199" s="56"/>
      <c r="G199" s="56"/>
      <c r="H199" s="56"/>
      <c r="I199" s="56"/>
      <c r="BI199" s="56"/>
      <c r="BJ199" s="56"/>
      <c r="BK199" s="56"/>
      <c r="BL199" s="56"/>
      <c r="BM199" s="56"/>
      <c r="BN199" s="56"/>
    </row>
    <row r="200" spans="2:83" x14ac:dyDescent="0.35">
      <c r="B200" s="56"/>
      <c r="C200" s="56"/>
      <c r="D200" s="56"/>
      <c r="E200" s="56"/>
      <c r="F200" s="56"/>
      <c r="G200" s="56"/>
      <c r="H200" s="56"/>
      <c r="I200" s="56"/>
      <c r="BI200" s="56"/>
      <c r="BJ200" s="56"/>
      <c r="BK200" s="56"/>
      <c r="BL200" s="56"/>
      <c r="BM200" s="56"/>
      <c r="BN200" s="56"/>
    </row>
    <row r="201" spans="2:83" x14ac:dyDescent="0.35">
      <c r="BI201" s="56"/>
      <c r="BJ201" s="56"/>
      <c r="BK201" s="56"/>
      <c r="BL201" s="56"/>
      <c r="BM201" s="56"/>
      <c r="BN201" s="56"/>
    </row>
    <row r="202" spans="2:83" x14ac:dyDescent="0.35">
      <c r="BI202" s="56"/>
      <c r="BJ202" s="56"/>
      <c r="BK202" s="56"/>
      <c r="BL202" s="56"/>
      <c r="BM202" s="56"/>
      <c r="BN202" s="56"/>
    </row>
    <row r="203" spans="2:83" x14ac:dyDescent="0.35">
      <c r="BI203" s="56"/>
      <c r="BJ203" s="56"/>
      <c r="BK203" s="56"/>
      <c r="BL203" s="56"/>
      <c r="BM203" s="56"/>
      <c r="BN203" s="56"/>
    </row>
    <row r="204" spans="2:83" x14ac:dyDescent="0.35">
      <c r="BI204" s="56"/>
      <c r="BJ204" s="56"/>
      <c r="BK204" s="56"/>
      <c r="BL204" s="56"/>
      <c r="BM204" s="56"/>
      <c r="BN204" s="56"/>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56"/>
      <c r="B1" s="538" t="s">
        <v>49</v>
      </c>
      <c r="C1" s="538"/>
      <c r="D1" s="538"/>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7" x14ac:dyDescent="0.3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7" ht="25" x14ac:dyDescent="0.35">
      <c r="A3" s="56"/>
      <c r="B3" s="7"/>
      <c r="C3" s="8" t="s">
        <v>46</v>
      </c>
      <c r="D3" s="8" t="s">
        <v>4</v>
      </c>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7" ht="50" x14ac:dyDescent="0.35">
      <c r="A4" s="56"/>
      <c r="B4" s="9" t="s">
        <v>45</v>
      </c>
      <c r="C4" s="10" t="s">
        <v>93</v>
      </c>
      <c r="D4" s="11">
        <v>0.2</v>
      </c>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7" ht="50" x14ac:dyDescent="0.35">
      <c r="A5" s="56"/>
      <c r="B5" s="12" t="s">
        <v>47</v>
      </c>
      <c r="C5" s="13" t="s">
        <v>94</v>
      </c>
      <c r="D5" s="14">
        <v>0.4</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7" ht="50" x14ac:dyDescent="0.35">
      <c r="A6" s="56"/>
      <c r="B6" s="15" t="s">
        <v>98</v>
      </c>
      <c r="C6" s="13" t="s">
        <v>95</v>
      </c>
      <c r="D6" s="14">
        <v>0.6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7" ht="75" x14ac:dyDescent="0.35">
      <c r="A7" s="56"/>
      <c r="B7" s="16" t="s">
        <v>6</v>
      </c>
      <c r="C7" s="13" t="s">
        <v>96</v>
      </c>
      <c r="D7" s="14">
        <v>0.8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7" ht="50" x14ac:dyDescent="0.35">
      <c r="A8" s="56"/>
      <c r="B8" s="17" t="s">
        <v>48</v>
      </c>
      <c r="C8" s="13" t="s">
        <v>97</v>
      </c>
      <c r="D8" s="14">
        <v>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row>
    <row r="9" spans="1:37" x14ac:dyDescent="0.35">
      <c r="A9" s="56"/>
      <c r="B9" s="80"/>
      <c r="C9" s="80"/>
      <c r="D9" s="80"/>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x14ac:dyDescent="0.35">
      <c r="A10" s="56"/>
      <c r="B10" s="81"/>
      <c r="C10" s="80"/>
      <c r="D10" s="80"/>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row>
    <row r="11" spans="1:37" x14ac:dyDescent="0.35">
      <c r="A11" s="56"/>
      <c r="B11" s="80"/>
      <c r="C11" s="80"/>
      <c r="D11" s="80"/>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1:37" x14ac:dyDescent="0.35">
      <c r="A12" s="56"/>
      <c r="B12" s="80"/>
      <c r="C12" s="80"/>
      <c r="D12" s="80"/>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1:37" x14ac:dyDescent="0.35">
      <c r="A13" s="56"/>
      <c r="B13" s="80"/>
      <c r="C13" s="80"/>
      <c r="D13" s="80"/>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1:37" x14ac:dyDescent="0.35">
      <c r="A14" s="56"/>
      <c r="B14" s="80"/>
      <c r="C14" s="80"/>
      <c r="D14" s="80"/>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37" x14ac:dyDescent="0.35">
      <c r="A15" s="56"/>
      <c r="B15" s="80"/>
      <c r="C15" s="80"/>
      <c r="D15" s="80"/>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x14ac:dyDescent="0.35">
      <c r="A16" s="56"/>
      <c r="B16" s="80"/>
      <c r="C16" s="80"/>
      <c r="D16" s="80"/>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1:37" x14ac:dyDescent="0.35">
      <c r="A17" s="56"/>
      <c r="B17" s="80"/>
      <c r="C17" s="80"/>
      <c r="D17" s="80"/>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1:37" x14ac:dyDescent="0.35">
      <c r="A18" s="56"/>
      <c r="B18" s="80"/>
      <c r="C18" s="80"/>
      <c r="D18" s="80"/>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1:37" x14ac:dyDescent="0.3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x14ac:dyDescent="0.3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x14ac:dyDescent="0.3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1:37" x14ac:dyDescent="0.3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1:37" x14ac:dyDescent="0.3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row>
    <row r="24" spans="1:37" x14ac:dyDescent="0.3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x14ac:dyDescent="0.3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row>
    <row r="26" spans="1:37" x14ac:dyDescent="0.3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1:37" x14ac:dyDescent="0.3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1:37" x14ac:dyDescent="0.3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1:37" x14ac:dyDescent="0.3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x14ac:dyDescent="0.3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1:37" x14ac:dyDescent="0.3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1:37" x14ac:dyDescent="0.3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1:31" x14ac:dyDescent="0.35">
      <c r="A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x14ac:dyDescent="0.35">
      <c r="A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x14ac:dyDescent="0.35">
      <c r="A35" s="56"/>
    </row>
    <row r="36" spans="1:31" x14ac:dyDescent="0.35">
      <c r="A36" s="56"/>
    </row>
    <row r="37" spans="1:31" x14ac:dyDescent="0.35">
      <c r="A37" s="56"/>
    </row>
    <row r="38" spans="1:31" x14ac:dyDescent="0.35">
      <c r="A38" s="56"/>
    </row>
    <row r="39" spans="1:31" x14ac:dyDescent="0.35">
      <c r="A39" s="56"/>
    </row>
    <row r="40" spans="1:31" x14ac:dyDescent="0.35">
      <c r="A40" s="56"/>
    </row>
    <row r="41" spans="1:31" x14ac:dyDescent="0.35">
      <c r="A41" s="56"/>
    </row>
    <row r="42" spans="1:31" x14ac:dyDescent="0.35">
      <c r="A42" s="56"/>
    </row>
    <row r="43" spans="1:31" x14ac:dyDescent="0.35">
      <c r="A43" s="56"/>
    </row>
    <row r="44" spans="1:31" x14ac:dyDescent="0.35">
      <c r="A44" s="56"/>
    </row>
    <row r="45" spans="1:31" x14ac:dyDescent="0.35">
      <c r="A45" s="56"/>
    </row>
    <row r="46" spans="1:31" x14ac:dyDescent="0.35">
      <c r="A46" s="56"/>
    </row>
    <row r="47" spans="1:31" x14ac:dyDescent="0.35">
      <c r="A47" s="56"/>
    </row>
    <row r="48" spans="1:31" x14ac:dyDescent="0.35">
      <c r="A48" s="56"/>
    </row>
    <row r="49" spans="1:1" x14ac:dyDescent="0.35">
      <c r="A49" s="56"/>
    </row>
    <row r="50" spans="1:1" x14ac:dyDescent="0.35">
      <c r="A50" s="56"/>
    </row>
    <row r="51" spans="1:1" x14ac:dyDescent="0.35">
      <c r="A51" s="56"/>
    </row>
    <row r="52" spans="1:1" x14ac:dyDescent="0.35">
      <c r="A52" s="56"/>
    </row>
    <row r="53" spans="1:1" x14ac:dyDescent="0.35">
      <c r="A53" s="56"/>
    </row>
    <row r="54" spans="1:1" x14ac:dyDescent="0.35">
      <c r="A54" s="56"/>
    </row>
    <row r="55" spans="1:1" x14ac:dyDescent="0.35">
      <c r="A55" s="5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4" zoomScale="70" zoomScaleNormal="70" workbookViewId="0">
      <selection activeCell="C218" sqref="C218"/>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56"/>
      <c r="B1" s="539" t="s">
        <v>57</v>
      </c>
      <c r="C1" s="539"/>
      <c r="D1" s="539"/>
      <c r="E1" s="56"/>
      <c r="F1" s="56"/>
      <c r="G1" s="56"/>
      <c r="H1" s="56"/>
      <c r="I1" s="56"/>
      <c r="J1" s="56"/>
      <c r="K1" s="56"/>
      <c r="L1" s="56"/>
      <c r="M1" s="56"/>
      <c r="N1" s="56"/>
      <c r="O1" s="56"/>
      <c r="P1" s="56"/>
      <c r="Q1" s="56"/>
      <c r="R1" s="56"/>
      <c r="S1" s="56"/>
      <c r="T1" s="56"/>
      <c r="U1" s="56"/>
    </row>
    <row r="2" spans="1:21" x14ac:dyDescent="0.35">
      <c r="A2" s="56"/>
      <c r="B2" s="56"/>
      <c r="C2" s="56"/>
      <c r="D2" s="56"/>
      <c r="E2" s="56"/>
      <c r="F2" s="56"/>
      <c r="G2" s="56"/>
      <c r="H2" s="56"/>
      <c r="I2" s="56"/>
      <c r="J2" s="56"/>
      <c r="K2" s="56"/>
      <c r="L2" s="56"/>
      <c r="M2" s="56"/>
      <c r="N2" s="56"/>
      <c r="O2" s="56"/>
      <c r="P2" s="56"/>
      <c r="Q2" s="56"/>
      <c r="R2" s="56"/>
      <c r="S2" s="56"/>
      <c r="T2" s="56"/>
      <c r="U2" s="56"/>
    </row>
    <row r="3" spans="1:21" ht="30.5" x14ac:dyDescent="0.35">
      <c r="A3" s="56"/>
      <c r="B3" s="77"/>
      <c r="C3" s="30" t="s">
        <v>50</v>
      </c>
      <c r="D3" s="30" t="s">
        <v>51</v>
      </c>
      <c r="E3" s="56"/>
      <c r="F3" s="56"/>
      <c r="G3" s="56"/>
      <c r="H3" s="56"/>
      <c r="I3" s="56"/>
      <c r="J3" s="56"/>
      <c r="K3" s="56"/>
      <c r="L3" s="56"/>
      <c r="M3" s="56"/>
      <c r="N3" s="56"/>
      <c r="O3" s="56"/>
      <c r="P3" s="56"/>
      <c r="Q3" s="56"/>
      <c r="R3" s="56"/>
      <c r="S3" s="56"/>
      <c r="T3" s="56"/>
      <c r="U3" s="56"/>
    </row>
    <row r="4" spans="1:21" ht="32.5" x14ac:dyDescent="0.35">
      <c r="A4" s="76" t="s">
        <v>77</v>
      </c>
      <c r="B4" s="33" t="s">
        <v>92</v>
      </c>
      <c r="C4" s="38" t="s">
        <v>132</v>
      </c>
      <c r="D4" s="31" t="s">
        <v>90</v>
      </c>
      <c r="E4" s="56"/>
      <c r="F4" s="56"/>
      <c r="G4" s="56"/>
      <c r="H4" s="56"/>
      <c r="I4" s="56"/>
      <c r="J4" s="56"/>
      <c r="K4" s="56"/>
      <c r="L4" s="56"/>
      <c r="M4" s="56"/>
      <c r="N4" s="56"/>
      <c r="O4" s="56"/>
      <c r="P4" s="56"/>
      <c r="Q4" s="56"/>
      <c r="R4" s="56"/>
      <c r="S4" s="56"/>
      <c r="T4" s="56"/>
      <c r="U4" s="56"/>
    </row>
    <row r="5" spans="1:21" ht="65" x14ac:dyDescent="0.35">
      <c r="A5" s="76" t="s">
        <v>78</v>
      </c>
      <c r="B5" s="34" t="s">
        <v>53</v>
      </c>
      <c r="C5" s="39" t="s">
        <v>86</v>
      </c>
      <c r="D5" s="32" t="s">
        <v>489</v>
      </c>
      <c r="E5" s="56"/>
      <c r="F5" s="56"/>
      <c r="G5" s="56"/>
      <c r="H5" s="56"/>
      <c r="I5" s="56"/>
      <c r="J5" s="56"/>
      <c r="K5" s="56"/>
      <c r="L5" s="56"/>
      <c r="M5" s="56"/>
      <c r="N5" s="56"/>
      <c r="O5" s="56"/>
      <c r="P5" s="56"/>
      <c r="Q5" s="56"/>
      <c r="R5" s="56"/>
      <c r="S5" s="56"/>
      <c r="T5" s="56"/>
      <c r="U5" s="56"/>
    </row>
    <row r="6" spans="1:21" ht="65" x14ac:dyDescent="0.35">
      <c r="A6" s="76" t="s">
        <v>75</v>
      </c>
      <c r="B6" s="35" t="s">
        <v>54</v>
      </c>
      <c r="C6" s="39" t="s">
        <v>87</v>
      </c>
      <c r="D6" s="32" t="s">
        <v>91</v>
      </c>
      <c r="E6" s="56"/>
      <c r="F6" s="56"/>
      <c r="G6" s="56"/>
      <c r="H6" s="56"/>
      <c r="I6" s="56"/>
      <c r="J6" s="56"/>
      <c r="K6" s="56"/>
      <c r="L6" s="56"/>
      <c r="M6" s="56"/>
      <c r="N6" s="56"/>
      <c r="O6" s="56"/>
      <c r="P6" s="56"/>
      <c r="Q6" s="56"/>
      <c r="R6" s="56"/>
      <c r="S6" s="56"/>
      <c r="T6" s="56"/>
      <c r="U6" s="56"/>
    </row>
    <row r="7" spans="1:21" ht="65" x14ac:dyDescent="0.35">
      <c r="A7" s="76" t="s">
        <v>7</v>
      </c>
      <c r="B7" s="36" t="s">
        <v>55</v>
      </c>
      <c r="C7" s="39" t="s">
        <v>88</v>
      </c>
      <c r="D7" s="32" t="s">
        <v>491</v>
      </c>
      <c r="E7" s="56"/>
      <c r="F7" s="56"/>
      <c r="G7" s="56"/>
      <c r="H7" s="56"/>
      <c r="I7" s="56"/>
      <c r="J7" s="56"/>
      <c r="K7" s="56"/>
      <c r="L7" s="56"/>
      <c r="M7" s="56"/>
      <c r="N7" s="56"/>
      <c r="O7" s="56"/>
      <c r="P7" s="56"/>
      <c r="Q7" s="56"/>
      <c r="R7" s="56"/>
      <c r="S7" s="56"/>
      <c r="T7" s="56"/>
      <c r="U7" s="56"/>
    </row>
    <row r="8" spans="1:21" ht="65" x14ac:dyDescent="0.35">
      <c r="A8" s="76" t="s">
        <v>79</v>
      </c>
      <c r="B8" s="37" t="s">
        <v>56</v>
      </c>
      <c r="C8" s="39" t="s">
        <v>89</v>
      </c>
      <c r="D8" s="32" t="s">
        <v>109</v>
      </c>
      <c r="E8" s="56"/>
      <c r="F8" s="56"/>
      <c r="G8" s="56"/>
      <c r="H8" s="56"/>
      <c r="I8" s="56"/>
      <c r="J8" s="56"/>
      <c r="K8" s="56"/>
      <c r="L8" s="56"/>
      <c r="M8" s="56"/>
      <c r="N8" s="56"/>
      <c r="O8" s="56"/>
      <c r="P8" s="56"/>
      <c r="Q8" s="56"/>
      <c r="R8" s="56"/>
      <c r="S8" s="56"/>
      <c r="T8" s="56"/>
      <c r="U8" s="56"/>
    </row>
    <row r="9" spans="1:21" ht="20" x14ac:dyDescent="0.35">
      <c r="A9" s="76"/>
      <c r="B9" s="76"/>
      <c r="C9" s="78"/>
      <c r="D9" s="78"/>
      <c r="E9" s="56"/>
      <c r="F9" s="56"/>
      <c r="G9" s="56"/>
      <c r="H9" s="56"/>
      <c r="I9" s="56"/>
      <c r="J9" s="56"/>
      <c r="K9" s="56"/>
      <c r="L9" s="56"/>
      <c r="M9" s="56"/>
      <c r="N9" s="56"/>
      <c r="O9" s="56"/>
      <c r="P9" s="56"/>
      <c r="Q9" s="56"/>
      <c r="R9" s="56"/>
      <c r="S9" s="56"/>
      <c r="T9" s="56"/>
      <c r="U9" s="56"/>
    </row>
    <row r="10" spans="1:21" x14ac:dyDescent="0.35">
      <c r="A10" s="76"/>
      <c r="B10" s="79"/>
      <c r="C10" s="79"/>
      <c r="D10" s="79"/>
      <c r="E10" s="56"/>
      <c r="F10" s="56"/>
      <c r="G10" s="56"/>
      <c r="H10" s="56"/>
      <c r="I10" s="56"/>
      <c r="J10" s="56"/>
      <c r="K10" s="56"/>
      <c r="L10" s="56"/>
      <c r="M10" s="56"/>
      <c r="N10" s="56"/>
      <c r="O10" s="56"/>
      <c r="P10" s="56"/>
      <c r="Q10" s="56"/>
      <c r="R10" s="56"/>
      <c r="S10" s="56"/>
      <c r="T10" s="56"/>
      <c r="U10" s="56"/>
    </row>
    <row r="11" spans="1:21" x14ac:dyDescent="0.35">
      <c r="A11" s="76"/>
      <c r="B11" s="76" t="s">
        <v>84</v>
      </c>
      <c r="C11" s="76" t="s">
        <v>481</v>
      </c>
      <c r="D11" s="76" t="s">
        <v>482</v>
      </c>
      <c r="E11" s="56"/>
      <c r="F11" s="56"/>
      <c r="G11" s="56"/>
      <c r="H11" s="56"/>
      <c r="I11" s="56"/>
      <c r="J11" s="56"/>
      <c r="K11" s="56"/>
      <c r="L11" s="56"/>
      <c r="M11" s="56"/>
      <c r="N11" s="56"/>
      <c r="O11" s="56"/>
      <c r="P11" s="56"/>
      <c r="Q11" s="56"/>
      <c r="R11" s="56"/>
      <c r="S11" s="56"/>
      <c r="T11" s="56"/>
      <c r="U11" s="56"/>
    </row>
    <row r="12" spans="1:21" x14ac:dyDescent="0.35">
      <c r="A12" s="76"/>
      <c r="B12" s="76" t="s">
        <v>82</v>
      </c>
      <c r="C12" s="76" t="s">
        <v>483</v>
      </c>
      <c r="D12" s="76" t="s">
        <v>490</v>
      </c>
      <c r="E12" s="56"/>
      <c r="F12" s="56"/>
      <c r="G12" s="56"/>
      <c r="H12" s="56"/>
      <c r="I12" s="56"/>
      <c r="J12" s="56"/>
      <c r="K12" s="56"/>
      <c r="L12" s="56"/>
      <c r="M12" s="56"/>
      <c r="N12" s="56"/>
      <c r="O12" s="56"/>
      <c r="P12" s="56"/>
      <c r="Q12" s="56"/>
      <c r="R12" s="56"/>
      <c r="S12" s="56"/>
      <c r="T12" s="56"/>
      <c r="U12" s="56"/>
    </row>
    <row r="13" spans="1:21" x14ac:dyDescent="0.35">
      <c r="A13" s="76"/>
      <c r="B13" s="76"/>
      <c r="C13" s="76" t="s">
        <v>484</v>
      </c>
      <c r="D13" s="76" t="s">
        <v>485</v>
      </c>
      <c r="E13" s="56"/>
      <c r="F13" s="56"/>
      <c r="G13" s="56"/>
      <c r="H13" s="56"/>
      <c r="I13" s="56"/>
      <c r="J13" s="56"/>
      <c r="K13" s="56"/>
      <c r="L13" s="56"/>
      <c r="M13" s="56"/>
      <c r="N13" s="56"/>
      <c r="O13" s="56"/>
      <c r="P13" s="56"/>
      <c r="Q13" s="56"/>
      <c r="R13" s="56"/>
      <c r="S13" s="56"/>
      <c r="T13" s="56"/>
      <c r="U13" s="56"/>
    </row>
    <row r="14" spans="1:21" x14ac:dyDescent="0.35">
      <c r="A14" s="76"/>
      <c r="B14" s="76"/>
      <c r="C14" s="76" t="s">
        <v>486</v>
      </c>
      <c r="D14" s="76" t="s">
        <v>492</v>
      </c>
      <c r="E14" s="56"/>
      <c r="F14" s="56"/>
      <c r="G14" s="56"/>
      <c r="H14" s="56"/>
      <c r="I14" s="56"/>
      <c r="J14" s="56"/>
      <c r="K14" s="56"/>
      <c r="L14" s="56"/>
      <c r="M14" s="56"/>
      <c r="N14" s="56"/>
      <c r="O14" s="56"/>
      <c r="P14" s="56"/>
      <c r="Q14" s="56"/>
      <c r="R14" s="56"/>
      <c r="S14" s="56"/>
      <c r="T14" s="56"/>
      <c r="U14" s="56"/>
    </row>
    <row r="15" spans="1:21" x14ac:dyDescent="0.35">
      <c r="A15" s="76"/>
      <c r="B15" s="76"/>
      <c r="C15" s="76" t="s">
        <v>487</v>
      </c>
      <c r="D15" s="76" t="s">
        <v>488</v>
      </c>
      <c r="E15" s="56"/>
      <c r="F15" s="56"/>
      <c r="G15" s="56"/>
      <c r="H15" s="56"/>
      <c r="I15" s="56"/>
      <c r="J15" s="56"/>
      <c r="K15" s="56"/>
      <c r="L15" s="56"/>
      <c r="M15" s="56"/>
      <c r="N15" s="56"/>
      <c r="O15" s="56"/>
      <c r="P15" s="56"/>
      <c r="Q15" s="56"/>
      <c r="R15" s="56"/>
      <c r="S15" s="56"/>
      <c r="T15" s="56"/>
      <c r="U15" s="56"/>
    </row>
    <row r="16" spans="1:21" x14ac:dyDescent="0.35">
      <c r="A16" s="76"/>
      <c r="B16" s="76"/>
      <c r="C16" s="76"/>
      <c r="D16" s="76"/>
      <c r="E16" s="56"/>
      <c r="F16" s="56"/>
      <c r="G16" s="56"/>
      <c r="H16" s="56"/>
      <c r="I16" s="56"/>
      <c r="J16" s="56"/>
      <c r="K16" s="56"/>
      <c r="L16" s="56"/>
      <c r="M16" s="56"/>
      <c r="N16" s="56"/>
      <c r="O16" s="56"/>
    </row>
    <row r="17" spans="1:15" x14ac:dyDescent="0.35">
      <c r="A17" s="76"/>
      <c r="B17" s="76"/>
      <c r="C17" s="76"/>
      <c r="D17" s="76"/>
      <c r="E17" s="56"/>
      <c r="F17" s="56"/>
      <c r="G17" s="56"/>
      <c r="H17" s="56"/>
      <c r="I17" s="56"/>
      <c r="J17" s="56"/>
      <c r="K17" s="56"/>
      <c r="L17" s="56"/>
      <c r="M17" s="56"/>
      <c r="N17" s="56"/>
      <c r="O17" s="56"/>
    </row>
    <row r="18" spans="1:15" x14ac:dyDescent="0.35">
      <c r="A18" s="76"/>
      <c r="B18" s="80"/>
      <c r="C18" s="80"/>
      <c r="D18" s="80"/>
      <c r="E18" s="56"/>
      <c r="F18" s="56"/>
      <c r="G18" s="56"/>
      <c r="H18" s="56"/>
      <c r="I18" s="56"/>
      <c r="J18" s="56"/>
      <c r="K18" s="56"/>
      <c r="L18" s="56"/>
      <c r="M18" s="56"/>
      <c r="N18" s="56"/>
      <c r="O18" s="56"/>
    </row>
    <row r="19" spans="1:15" x14ac:dyDescent="0.35">
      <c r="A19" s="76"/>
      <c r="B19" s="80"/>
      <c r="C19" s="80"/>
      <c r="D19" s="80"/>
      <c r="E19" s="56"/>
      <c r="F19" s="56"/>
      <c r="G19" s="56"/>
      <c r="H19" s="56"/>
      <c r="I19" s="56"/>
      <c r="J19" s="56"/>
      <c r="K19" s="56"/>
      <c r="L19" s="56"/>
      <c r="M19" s="56"/>
      <c r="N19" s="56"/>
      <c r="O19" s="56"/>
    </row>
    <row r="20" spans="1:15" x14ac:dyDescent="0.35">
      <c r="A20" s="76"/>
      <c r="B20" s="80"/>
      <c r="C20" s="80"/>
      <c r="D20" s="80"/>
      <c r="E20" s="56"/>
      <c r="F20" s="56"/>
      <c r="G20" s="56"/>
      <c r="H20" s="56"/>
      <c r="I20" s="56"/>
      <c r="J20" s="56"/>
      <c r="K20" s="56"/>
      <c r="L20" s="56"/>
      <c r="M20" s="56"/>
      <c r="N20" s="56"/>
      <c r="O20" s="56"/>
    </row>
    <row r="21" spans="1:15" x14ac:dyDescent="0.35">
      <c r="A21" s="76"/>
      <c r="B21" s="80"/>
      <c r="C21" s="80"/>
      <c r="D21" s="80"/>
      <c r="E21" s="56"/>
      <c r="F21" s="56"/>
      <c r="G21" s="56"/>
      <c r="H21" s="56"/>
      <c r="I21" s="56"/>
      <c r="J21" s="56"/>
      <c r="K21" s="56"/>
      <c r="L21" s="56"/>
      <c r="M21" s="56"/>
      <c r="N21" s="56"/>
      <c r="O21" s="56"/>
    </row>
    <row r="22" spans="1:15" ht="20" x14ac:dyDescent="0.35">
      <c r="A22" s="76"/>
      <c r="B22" s="76"/>
      <c r="C22" s="78"/>
      <c r="D22" s="78"/>
      <c r="E22" s="56"/>
      <c r="F22" s="56"/>
      <c r="G22" s="56"/>
      <c r="H22" s="56"/>
      <c r="I22" s="56"/>
      <c r="J22" s="56"/>
      <c r="K22" s="56"/>
      <c r="L22" s="56"/>
      <c r="M22" s="56"/>
      <c r="N22" s="56"/>
      <c r="O22" s="56"/>
    </row>
    <row r="23" spans="1:15" ht="20" x14ac:dyDescent="0.35">
      <c r="A23" s="76"/>
      <c r="B23" s="76"/>
      <c r="C23" s="78"/>
      <c r="D23" s="78"/>
      <c r="E23" s="56"/>
      <c r="F23" s="56"/>
      <c r="G23" s="56"/>
      <c r="H23" s="56"/>
      <c r="I23" s="56"/>
      <c r="J23" s="56"/>
      <c r="K23" s="56"/>
      <c r="L23" s="56"/>
      <c r="M23" s="56"/>
      <c r="N23" s="56"/>
      <c r="O23" s="56"/>
    </row>
    <row r="24" spans="1:15" ht="20" x14ac:dyDescent="0.35">
      <c r="A24" s="76"/>
      <c r="B24" s="76"/>
      <c r="C24" s="78"/>
      <c r="D24" s="78"/>
      <c r="E24" s="56"/>
      <c r="F24" s="56"/>
      <c r="G24" s="56"/>
      <c r="H24" s="56"/>
      <c r="I24" s="56"/>
      <c r="J24" s="56"/>
      <c r="K24" s="56"/>
      <c r="L24" s="56"/>
      <c r="M24" s="56"/>
      <c r="N24" s="56"/>
      <c r="O24" s="56"/>
    </row>
    <row r="25" spans="1:15" ht="20" x14ac:dyDescent="0.35">
      <c r="A25" s="76"/>
      <c r="B25" s="76"/>
      <c r="C25" s="78"/>
      <c r="D25" s="78"/>
      <c r="E25" s="56"/>
      <c r="F25" s="56"/>
      <c r="G25" s="56"/>
      <c r="H25" s="56"/>
      <c r="I25" s="56"/>
      <c r="J25" s="56"/>
      <c r="K25" s="56"/>
      <c r="L25" s="56"/>
      <c r="M25" s="56"/>
      <c r="N25" s="56"/>
      <c r="O25" s="56"/>
    </row>
    <row r="26" spans="1:15" ht="20" x14ac:dyDescent="0.35">
      <c r="A26" s="76"/>
      <c r="B26" s="76"/>
      <c r="C26" s="78"/>
      <c r="D26" s="78"/>
      <c r="E26" s="56"/>
      <c r="F26" s="56"/>
      <c r="G26" s="56"/>
      <c r="H26" s="56"/>
      <c r="I26" s="56"/>
      <c r="J26" s="56"/>
      <c r="K26" s="56"/>
      <c r="L26" s="56"/>
      <c r="M26" s="56"/>
      <c r="N26" s="56"/>
      <c r="O26" s="56"/>
    </row>
    <row r="27" spans="1:15" ht="20" x14ac:dyDescent="0.35">
      <c r="A27" s="76"/>
      <c r="B27" s="76"/>
      <c r="C27" s="78"/>
      <c r="D27" s="78"/>
      <c r="E27" s="56"/>
      <c r="F27" s="56"/>
      <c r="G27" s="56"/>
      <c r="H27" s="56"/>
      <c r="I27" s="56"/>
      <c r="J27" s="56"/>
      <c r="K27" s="56"/>
      <c r="L27" s="56"/>
      <c r="M27" s="56"/>
      <c r="N27" s="56"/>
      <c r="O27" s="56"/>
    </row>
    <row r="28" spans="1:15" ht="20" x14ac:dyDescent="0.35">
      <c r="A28" s="76"/>
      <c r="B28" s="76"/>
      <c r="C28" s="78"/>
      <c r="D28" s="78"/>
      <c r="E28" s="56"/>
      <c r="F28" s="56"/>
      <c r="G28" s="56"/>
      <c r="H28" s="56"/>
      <c r="I28" s="56"/>
      <c r="J28" s="56"/>
      <c r="K28" s="56"/>
      <c r="L28" s="56"/>
      <c r="M28" s="56"/>
      <c r="N28" s="56"/>
      <c r="O28" s="56"/>
    </row>
    <row r="29" spans="1:15" ht="20" x14ac:dyDescent="0.35">
      <c r="A29" s="76"/>
      <c r="B29" s="76"/>
      <c r="C29" s="78"/>
      <c r="D29" s="78"/>
      <c r="E29" s="56"/>
      <c r="F29" s="56"/>
      <c r="G29" s="56"/>
      <c r="H29" s="56"/>
      <c r="I29" s="56"/>
      <c r="J29" s="56"/>
      <c r="K29" s="56"/>
      <c r="L29" s="56"/>
      <c r="M29" s="56"/>
      <c r="N29" s="56"/>
      <c r="O29" s="56"/>
    </row>
    <row r="30" spans="1:15" ht="20" x14ac:dyDescent="0.35">
      <c r="A30" s="76"/>
      <c r="B30" s="76"/>
      <c r="C30" s="78"/>
      <c r="D30" s="78"/>
      <c r="E30" s="56"/>
      <c r="F30" s="56"/>
      <c r="G30" s="56"/>
      <c r="H30" s="56"/>
      <c r="I30" s="56"/>
      <c r="J30" s="56"/>
      <c r="K30" s="56"/>
      <c r="L30" s="56"/>
      <c r="M30" s="56"/>
      <c r="N30" s="56"/>
      <c r="O30" s="56"/>
    </row>
    <row r="31" spans="1:15" ht="20" x14ac:dyDescent="0.35">
      <c r="A31" s="76"/>
      <c r="B31" s="76"/>
      <c r="C31" s="78"/>
      <c r="D31" s="78"/>
      <c r="E31" s="56"/>
      <c r="F31" s="56"/>
      <c r="G31" s="56"/>
      <c r="H31" s="56"/>
      <c r="I31" s="56"/>
      <c r="J31" s="56"/>
      <c r="K31" s="56"/>
      <c r="L31" s="56"/>
      <c r="M31" s="56"/>
      <c r="N31" s="56"/>
      <c r="O31" s="56"/>
    </row>
    <row r="32" spans="1:15" ht="20" x14ac:dyDescent="0.35">
      <c r="A32" s="76"/>
      <c r="B32" s="76"/>
      <c r="C32" s="78"/>
      <c r="D32" s="78"/>
      <c r="E32" s="56"/>
      <c r="F32" s="56"/>
      <c r="G32" s="56"/>
      <c r="H32" s="56"/>
      <c r="I32" s="56"/>
      <c r="J32" s="56"/>
      <c r="K32" s="56"/>
      <c r="L32" s="56"/>
      <c r="M32" s="56"/>
      <c r="N32" s="56"/>
      <c r="O32" s="56"/>
    </row>
    <row r="33" spans="1:15" ht="20" x14ac:dyDescent="0.35">
      <c r="A33" s="76"/>
      <c r="B33" s="76"/>
      <c r="C33" s="78"/>
      <c r="D33" s="78"/>
      <c r="E33" s="56"/>
      <c r="F33" s="56"/>
      <c r="G33" s="56"/>
      <c r="H33" s="56"/>
      <c r="I33" s="56"/>
      <c r="J33" s="56"/>
      <c r="K33" s="56"/>
      <c r="L33" s="56"/>
      <c r="M33" s="56"/>
      <c r="N33" s="56"/>
      <c r="O33" s="56"/>
    </row>
    <row r="34" spans="1:15" ht="20" x14ac:dyDescent="0.35">
      <c r="A34" s="76"/>
      <c r="B34" s="76"/>
      <c r="C34" s="78"/>
      <c r="D34" s="78"/>
      <c r="E34" s="56"/>
      <c r="F34" s="56"/>
      <c r="G34" s="56"/>
      <c r="H34" s="56"/>
      <c r="I34" s="56"/>
      <c r="J34" s="56"/>
      <c r="K34" s="56"/>
      <c r="L34" s="56"/>
      <c r="M34" s="56"/>
      <c r="N34" s="56"/>
      <c r="O34" s="56"/>
    </row>
    <row r="35" spans="1:15" ht="20" x14ac:dyDescent="0.35">
      <c r="A35" s="76"/>
      <c r="B35" s="76"/>
      <c r="C35" s="78"/>
      <c r="D35" s="78"/>
      <c r="E35" s="56"/>
      <c r="F35" s="56"/>
      <c r="G35" s="56"/>
      <c r="H35" s="56"/>
      <c r="I35" s="56"/>
      <c r="J35" s="56"/>
      <c r="K35" s="56"/>
      <c r="L35" s="56"/>
      <c r="M35" s="56"/>
      <c r="N35" s="56"/>
      <c r="O35" s="56"/>
    </row>
    <row r="36" spans="1:15" ht="20" x14ac:dyDescent="0.35">
      <c r="A36" s="76"/>
      <c r="B36" s="76"/>
      <c r="C36" s="78"/>
      <c r="D36" s="78"/>
      <c r="E36" s="56"/>
      <c r="F36" s="56"/>
      <c r="G36" s="56"/>
      <c r="H36" s="56"/>
      <c r="I36" s="56"/>
      <c r="J36" s="56"/>
      <c r="K36" s="56"/>
      <c r="L36" s="56"/>
      <c r="M36" s="56"/>
      <c r="N36" s="56"/>
      <c r="O36" s="56"/>
    </row>
    <row r="37" spans="1:15" ht="20" x14ac:dyDescent="0.35">
      <c r="A37" s="76"/>
      <c r="B37" s="76"/>
      <c r="C37" s="78"/>
      <c r="D37" s="78"/>
      <c r="E37" s="56"/>
      <c r="F37" s="56"/>
      <c r="G37" s="56"/>
      <c r="H37" s="56"/>
      <c r="I37" s="56"/>
      <c r="J37" s="56"/>
      <c r="K37" s="56"/>
      <c r="L37" s="56"/>
      <c r="M37" s="56"/>
      <c r="N37" s="56"/>
      <c r="O37" s="56"/>
    </row>
    <row r="38" spans="1:15" ht="20" x14ac:dyDescent="0.35">
      <c r="A38" s="76"/>
      <c r="B38" s="76"/>
      <c r="C38" s="78"/>
      <c r="D38" s="78"/>
      <c r="E38" s="56"/>
      <c r="F38" s="56"/>
      <c r="G38" s="56"/>
      <c r="H38" s="56"/>
      <c r="I38" s="56"/>
      <c r="J38" s="56"/>
      <c r="K38" s="56"/>
      <c r="L38" s="56"/>
      <c r="M38" s="56"/>
      <c r="N38" s="56"/>
      <c r="O38" s="56"/>
    </row>
    <row r="39" spans="1:15" ht="20" x14ac:dyDescent="0.35">
      <c r="A39" s="76"/>
      <c r="B39" s="76"/>
      <c r="C39" s="78"/>
      <c r="D39" s="78"/>
      <c r="E39" s="56"/>
      <c r="F39" s="56"/>
      <c r="G39" s="56"/>
      <c r="H39" s="56"/>
      <c r="I39" s="56"/>
      <c r="J39" s="56"/>
      <c r="K39" s="56"/>
      <c r="L39" s="56"/>
      <c r="M39" s="56"/>
      <c r="N39" s="56"/>
      <c r="O39" s="56"/>
    </row>
    <row r="40" spans="1:15" ht="20" x14ac:dyDescent="0.35">
      <c r="A40" s="76"/>
      <c r="B40" s="76"/>
      <c r="C40" s="78"/>
      <c r="D40" s="78"/>
      <c r="E40" s="56"/>
      <c r="F40" s="56"/>
      <c r="G40" s="56"/>
      <c r="H40" s="56"/>
      <c r="I40" s="56"/>
      <c r="J40" s="56"/>
      <c r="K40" s="56"/>
      <c r="L40" s="56"/>
      <c r="M40" s="56"/>
      <c r="N40" s="56"/>
      <c r="O40" s="56"/>
    </row>
    <row r="41" spans="1:15" ht="20" x14ac:dyDescent="0.35">
      <c r="A41" s="76"/>
      <c r="B41" s="76"/>
      <c r="C41" s="78"/>
      <c r="D41" s="78"/>
      <c r="E41" s="56"/>
      <c r="F41" s="56"/>
      <c r="G41" s="56"/>
      <c r="H41" s="56"/>
      <c r="I41" s="56"/>
      <c r="J41" s="56"/>
      <c r="K41" s="56"/>
      <c r="L41" s="56"/>
      <c r="M41" s="56"/>
      <c r="N41" s="56"/>
      <c r="O41" s="56"/>
    </row>
    <row r="42" spans="1:15" ht="20" x14ac:dyDescent="0.35">
      <c r="A42" s="76"/>
      <c r="B42" s="76"/>
      <c r="C42" s="78"/>
      <c r="D42" s="78"/>
      <c r="E42" s="56"/>
      <c r="F42" s="56"/>
      <c r="G42" s="56"/>
      <c r="H42" s="56"/>
      <c r="I42" s="56"/>
      <c r="J42" s="56"/>
      <c r="K42" s="56"/>
      <c r="L42" s="56"/>
      <c r="M42" s="56"/>
      <c r="N42" s="56"/>
      <c r="O42" s="56"/>
    </row>
    <row r="43" spans="1:15" ht="20" x14ac:dyDescent="0.35">
      <c r="A43" s="76"/>
      <c r="B43" s="76"/>
      <c r="C43" s="78"/>
      <c r="D43" s="78"/>
      <c r="E43" s="56"/>
      <c r="F43" s="56"/>
      <c r="G43" s="56"/>
      <c r="H43" s="56"/>
      <c r="I43" s="56"/>
      <c r="J43" s="56"/>
      <c r="K43" s="56"/>
      <c r="L43" s="56"/>
      <c r="M43" s="56"/>
      <c r="N43" s="56"/>
      <c r="O43" s="56"/>
    </row>
    <row r="44" spans="1:15" ht="20" x14ac:dyDescent="0.35">
      <c r="A44" s="76"/>
      <c r="B44" s="76"/>
      <c r="C44" s="78"/>
      <c r="D44" s="78"/>
      <c r="E44" s="56"/>
      <c r="F44" s="56"/>
      <c r="G44" s="56"/>
      <c r="H44" s="56"/>
      <c r="I44" s="56"/>
      <c r="J44" s="56"/>
      <c r="K44" s="56"/>
      <c r="L44" s="56"/>
      <c r="M44" s="56"/>
      <c r="N44" s="56"/>
      <c r="O44" s="56"/>
    </row>
    <row r="45" spans="1:15" ht="20" x14ac:dyDescent="0.35">
      <c r="A45" s="76"/>
      <c r="B45" s="76"/>
      <c r="C45" s="78"/>
      <c r="D45" s="78"/>
      <c r="E45" s="56"/>
      <c r="F45" s="56"/>
      <c r="G45" s="56"/>
      <c r="H45" s="56"/>
      <c r="I45" s="56"/>
      <c r="J45" s="56"/>
      <c r="K45" s="56"/>
      <c r="L45" s="56"/>
      <c r="M45" s="56"/>
      <c r="N45" s="56"/>
      <c r="O45" s="56"/>
    </row>
    <row r="46" spans="1:15" ht="20" x14ac:dyDescent="0.35">
      <c r="A46" s="76"/>
      <c r="B46" s="76"/>
      <c r="C46" s="78"/>
      <c r="D46" s="78"/>
      <c r="E46" s="56"/>
      <c r="F46" s="56"/>
      <c r="G46" s="56"/>
      <c r="H46" s="56"/>
      <c r="I46" s="56"/>
      <c r="J46" s="56"/>
      <c r="K46" s="56"/>
      <c r="L46" s="56"/>
      <c r="M46" s="56"/>
      <c r="N46" s="56"/>
      <c r="O46" s="56"/>
    </row>
    <row r="47" spans="1:15" ht="20" x14ac:dyDescent="0.35">
      <c r="A47" s="76"/>
      <c r="B47" s="76"/>
      <c r="C47" s="78"/>
      <c r="D47" s="78"/>
      <c r="E47" s="56"/>
      <c r="F47" s="56"/>
      <c r="G47" s="56"/>
      <c r="H47" s="56"/>
      <c r="I47" s="56"/>
      <c r="J47" s="56"/>
      <c r="K47" s="56"/>
      <c r="L47" s="56"/>
      <c r="M47" s="56"/>
      <c r="N47" s="56"/>
      <c r="O47" s="56"/>
    </row>
    <row r="48" spans="1:15" ht="20" x14ac:dyDescent="0.35">
      <c r="A48" s="76"/>
      <c r="B48" s="76"/>
      <c r="C48" s="78"/>
      <c r="D48" s="78"/>
      <c r="E48" s="56"/>
      <c r="F48" s="56"/>
      <c r="G48" s="56"/>
      <c r="H48" s="56"/>
      <c r="I48" s="56"/>
      <c r="J48" s="56"/>
      <c r="K48" s="56"/>
      <c r="L48" s="56"/>
      <c r="M48" s="56"/>
      <c r="N48" s="56"/>
      <c r="O48" s="56"/>
    </row>
    <row r="49" spans="1:15" ht="20" x14ac:dyDescent="0.35">
      <c r="A49" s="76"/>
      <c r="B49" s="76"/>
      <c r="C49" s="78"/>
      <c r="D49" s="78"/>
      <c r="E49" s="56"/>
      <c r="F49" s="56"/>
      <c r="G49" s="56"/>
      <c r="H49" s="56"/>
      <c r="I49" s="56"/>
      <c r="J49" s="56"/>
      <c r="K49" s="56"/>
      <c r="L49" s="56"/>
      <c r="M49" s="56"/>
      <c r="N49" s="56"/>
      <c r="O49" s="56"/>
    </row>
    <row r="50" spans="1:15" ht="20" x14ac:dyDescent="0.35">
      <c r="A50" s="76"/>
      <c r="B50" s="76"/>
      <c r="C50" s="78"/>
      <c r="D50" s="78"/>
      <c r="E50" s="56"/>
      <c r="F50" s="56"/>
      <c r="G50" s="56"/>
      <c r="H50" s="56"/>
      <c r="I50" s="56"/>
      <c r="J50" s="56"/>
      <c r="K50" s="56"/>
      <c r="L50" s="56"/>
      <c r="M50" s="56"/>
      <c r="N50" s="56"/>
      <c r="O50" s="56"/>
    </row>
    <row r="51" spans="1:15" ht="20" x14ac:dyDescent="0.35">
      <c r="A51" s="76"/>
      <c r="B51" s="76"/>
      <c r="C51" s="78"/>
      <c r="D51" s="78"/>
      <c r="E51" s="56"/>
      <c r="F51" s="56"/>
      <c r="G51" s="56"/>
      <c r="H51" s="56"/>
      <c r="I51" s="56"/>
      <c r="J51" s="56"/>
      <c r="K51" s="56"/>
      <c r="L51" s="56"/>
      <c r="M51" s="56"/>
      <c r="N51" s="56"/>
      <c r="O51" s="56"/>
    </row>
    <row r="52" spans="1:15" ht="20" x14ac:dyDescent="0.35">
      <c r="A52" s="76"/>
      <c r="B52" s="19"/>
      <c r="C52" s="28"/>
      <c r="D52" s="28"/>
    </row>
    <row r="53" spans="1:15" ht="20" x14ac:dyDescent="0.35">
      <c r="A53" s="76"/>
      <c r="B53" s="19"/>
      <c r="C53" s="28"/>
      <c r="D53" s="28"/>
    </row>
    <row r="54" spans="1:15" ht="20" x14ac:dyDescent="0.35">
      <c r="A54" s="76"/>
      <c r="B54" s="19"/>
      <c r="C54" s="28"/>
      <c r="D54" s="28"/>
    </row>
    <row r="55" spans="1:15" ht="20" x14ac:dyDescent="0.35">
      <c r="A55" s="76"/>
      <c r="B55" s="19"/>
      <c r="C55" s="28"/>
      <c r="D55" s="28"/>
    </row>
    <row r="56" spans="1:15" ht="20" x14ac:dyDescent="0.35">
      <c r="A56" s="76"/>
      <c r="B56" s="19"/>
      <c r="C56" s="28"/>
      <c r="D56" s="28"/>
    </row>
    <row r="57" spans="1:15" ht="20" x14ac:dyDescent="0.35">
      <c r="A57" s="76"/>
      <c r="B57" s="19"/>
      <c r="C57" s="28"/>
      <c r="D57" s="28"/>
    </row>
    <row r="58" spans="1:15" ht="20" x14ac:dyDescent="0.35">
      <c r="A58" s="76"/>
      <c r="B58" s="19"/>
      <c r="C58" s="28"/>
      <c r="D58" s="28"/>
    </row>
    <row r="59" spans="1:15" ht="20" x14ac:dyDescent="0.35">
      <c r="A59" s="76"/>
      <c r="B59" s="19"/>
      <c r="C59" s="28"/>
      <c r="D59" s="28"/>
    </row>
    <row r="60" spans="1:15" ht="20" x14ac:dyDescent="0.35">
      <c r="A60" s="76"/>
      <c r="B60" s="19"/>
      <c r="C60" s="28"/>
      <c r="D60" s="28"/>
    </row>
    <row r="61" spans="1:15" ht="20" x14ac:dyDescent="0.35">
      <c r="A61" s="76"/>
      <c r="B61" s="19"/>
      <c r="C61" s="28"/>
      <c r="D61" s="28"/>
    </row>
    <row r="62" spans="1:15" ht="20" x14ac:dyDescent="0.35">
      <c r="A62" s="76"/>
      <c r="B62" s="19"/>
      <c r="C62" s="28"/>
      <c r="D62" s="28"/>
    </row>
    <row r="63" spans="1:15" ht="20" x14ac:dyDescent="0.35">
      <c r="A63" s="76"/>
      <c r="B63" s="19"/>
      <c r="C63" s="28"/>
      <c r="D63" s="28"/>
    </row>
    <row r="64" spans="1:15" ht="20" x14ac:dyDescent="0.35">
      <c r="A64" s="76"/>
      <c r="B64" s="19"/>
      <c r="C64" s="28"/>
      <c r="D64" s="28"/>
    </row>
    <row r="65" spans="1:4" ht="20" x14ac:dyDescent="0.35">
      <c r="A65" s="76"/>
      <c r="B65" s="19"/>
      <c r="C65" s="28"/>
      <c r="D65" s="28"/>
    </row>
    <row r="66" spans="1:4" ht="20" x14ac:dyDescent="0.35">
      <c r="A66" s="76"/>
      <c r="B66" s="19"/>
      <c r="C66" s="28"/>
      <c r="D66" s="28"/>
    </row>
    <row r="67" spans="1:4" ht="20" x14ac:dyDescent="0.35">
      <c r="A67" s="76"/>
      <c r="B67" s="19"/>
      <c r="C67" s="28"/>
      <c r="D67" s="28"/>
    </row>
    <row r="68" spans="1:4" ht="20" x14ac:dyDescent="0.35">
      <c r="A68" s="76"/>
      <c r="B68" s="19"/>
      <c r="C68" s="28"/>
      <c r="D68" s="28"/>
    </row>
    <row r="69" spans="1:4" ht="20" x14ac:dyDescent="0.35">
      <c r="A69" s="76"/>
      <c r="B69" s="19"/>
      <c r="C69" s="28"/>
      <c r="D69" s="28"/>
    </row>
    <row r="70" spans="1:4" ht="20" x14ac:dyDescent="0.35">
      <c r="A70" s="76"/>
      <c r="B70" s="19"/>
      <c r="C70" s="28"/>
      <c r="D70" s="28"/>
    </row>
    <row r="71" spans="1:4" ht="20" x14ac:dyDescent="0.35">
      <c r="A71" s="76"/>
      <c r="B71" s="19"/>
      <c r="C71" s="28"/>
      <c r="D71" s="28"/>
    </row>
    <row r="72" spans="1:4" ht="20" x14ac:dyDescent="0.35">
      <c r="A72" s="76"/>
      <c r="B72" s="19"/>
      <c r="C72" s="28"/>
      <c r="D72" s="28"/>
    </row>
    <row r="73" spans="1:4" ht="20" x14ac:dyDescent="0.35">
      <c r="A73" s="76"/>
      <c r="B73" s="19"/>
      <c r="C73" s="28"/>
      <c r="D73" s="28"/>
    </row>
    <row r="74" spans="1:4" ht="20" x14ac:dyDescent="0.35">
      <c r="A74" s="76"/>
      <c r="B74" s="19"/>
      <c r="C74" s="28"/>
      <c r="D74" s="28"/>
    </row>
    <row r="75" spans="1:4" ht="20" x14ac:dyDescent="0.35">
      <c r="A75" s="76"/>
      <c r="B75" s="19"/>
      <c r="C75" s="28"/>
      <c r="D75" s="28"/>
    </row>
    <row r="76" spans="1:4" ht="20" x14ac:dyDescent="0.35">
      <c r="A76" s="76"/>
      <c r="B76" s="19"/>
      <c r="C76" s="28"/>
      <c r="D76" s="28"/>
    </row>
    <row r="77" spans="1:4" ht="20" x14ac:dyDescent="0.35">
      <c r="A77" s="76"/>
      <c r="B77" s="19"/>
      <c r="C77" s="28"/>
      <c r="D77" s="28"/>
    </row>
    <row r="78" spans="1:4" ht="20" x14ac:dyDescent="0.35">
      <c r="A78" s="76"/>
      <c r="B78" s="19"/>
      <c r="C78" s="28"/>
      <c r="D78" s="28"/>
    </row>
    <row r="79" spans="1:4" ht="20" x14ac:dyDescent="0.35">
      <c r="A79" s="76"/>
      <c r="B79" s="19"/>
      <c r="C79" s="28"/>
      <c r="D79" s="28"/>
    </row>
    <row r="80" spans="1:4" ht="20" x14ac:dyDescent="0.35">
      <c r="A80" s="76"/>
      <c r="B80" s="19"/>
      <c r="C80" s="28"/>
      <c r="D80" s="28"/>
    </row>
    <row r="81" spans="1:4" ht="20" x14ac:dyDescent="0.35">
      <c r="A81" s="76"/>
      <c r="B81" s="19"/>
      <c r="C81" s="28"/>
      <c r="D81" s="28"/>
    </row>
    <row r="82" spans="1:4" ht="20" x14ac:dyDescent="0.35">
      <c r="A82" s="76"/>
      <c r="B82" s="19"/>
      <c r="C82" s="28"/>
      <c r="D82" s="28"/>
    </row>
    <row r="83" spans="1:4" ht="20" x14ac:dyDescent="0.35">
      <c r="A83" s="76"/>
      <c r="B83" s="19"/>
      <c r="C83" s="28"/>
      <c r="D83" s="28"/>
    </row>
    <row r="84" spans="1:4" ht="20" x14ac:dyDescent="0.35">
      <c r="A84" s="76"/>
      <c r="B84" s="19"/>
      <c r="C84" s="28"/>
      <c r="D84" s="28"/>
    </row>
    <row r="85" spans="1:4" ht="20" x14ac:dyDescent="0.35">
      <c r="A85" s="76"/>
      <c r="B85" s="19"/>
      <c r="C85" s="28"/>
      <c r="D85" s="28"/>
    </row>
    <row r="86" spans="1:4" ht="20" x14ac:dyDescent="0.35">
      <c r="A86" s="76"/>
      <c r="B86" s="19"/>
      <c r="C86" s="28"/>
      <c r="D86" s="28"/>
    </row>
    <row r="87" spans="1:4" ht="20" x14ac:dyDescent="0.35">
      <c r="A87" s="76"/>
      <c r="B87" s="19"/>
      <c r="C87" s="28"/>
      <c r="D87" s="28"/>
    </row>
    <row r="88" spans="1:4" ht="20" x14ac:dyDescent="0.35">
      <c r="A88" s="76"/>
      <c r="B88" s="19"/>
      <c r="C88" s="28"/>
      <c r="D88" s="28"/>
    </row>
    <row r="89" spans="1:4" ht="20" x14ac:dyDescent="0.35">
      <c r="A89" s="76"/>
      <c r="B89" s="19"/>
      <c r="C89" s="28"/>
      <c r="D89" s="28"/>
    </row>
    <row r="90" spans="1:4" ht="20" x14ac:dyDescent="0.35">
      <c r="A90" s="76"/>
      <c r="B90" s="19"/>
      <c r="C90" s="28"/>
      <c r="D90" s="28"/>
    </row>
    <row r="91" spans="1:4" ht="20" x14ac:dyDescent="0.35">
      <c r="A91" s="76"/>
      <c r="B91" s="19"/>
      <c r="C91" s="28"/>
      <c r="D91" s="28"/>
    </row>
    <row r="92" spans="1:4" ht="20" x14ac:dyDescent="0.35">
      <c r="A92" s="76"/>
      <c r="B92" s="19"/>
      <c r="C92" s="28"/>
      <c r="D92" s="28"/>
    </row>
    <row r="93" spans="1:4" ht="20" x14ac:dyDescent="0.35">
      <c r="A93" s="76"/>
      <c r="B93" s="19"/>
      <c r="C93" s="28"/>
      <c r="D93" s="28"/>
    </row>
    <row r="94" spans="1:4" ht="20" x14ac:dyDescent="0.35">
      <c r="A94" s="76"/>
      <c r="B94" s="19"/>
      <c r="C94" s="28"/>
      <c r="D94" s="28"/>
    </row>
    <row r="95" spans="1:4" ht="20" x14ac:dyDescent="0.35">
      <c r="A95" s="76"/>
      <c r="B95" s="19"/>
      <c r="C95" s="28"/>
      <c r="D95" s="28"/>
    </row>
    <row r="96" spans="1:4" ht="20" x14ac:dyDescent="0.35">
      <c r="A96" s="76"/>
      <c r="B96" s="19"/>
      <c r="C96" s="28"/>
      <c r="D96" s="28"/>
    </row>
    <row r="97" spans="1:4" ht="20" x14ac:dyDescent="0.35">
      <c r="A97" s="76"/>
      <c r="B97" s="19"/>
      <c r="C97" s="28"/>
      <c r="D97" s="28"/>
    </row>
    <row r="98" spans="1:4" ht="20" x14ac:dyDescent="0.35">
      <c r="A98" s="76"/>
      <c r="B98" s="19"/>
      <c r="C98" s="28"/>
      <c r="D98" s="28"/>
    </row>
    <row r="99" spans="1:4" ht="20" x14ac:dyDescent="0.35">
      <c r="A99" s="76"/>
      <c r="B99" s="19"/>
      <c r="C99" s="28"/>
      <c r="D99" s="28"/>
    </row>
    <row r="100" spans="1:4" ht="20" x14ac:dyDescent="0.35">
      <c r="A100" s="76"/>
      <c r="B100" s="19"/>
      <c r="C100" s="28"/>
      <c r="D100" s="28"/>
    </row>
    <row r="101" spans="1:4" ht="20" x14ac:dyDescent="0.35">
      <c r="A101" s="76"/>
      <c r="B101" s="19"/>
      <c r="C101" s="28"/>
      <c r="D101" s="28"/>
    </row>
    <row r="102" spans="1:4" ht="20" x14ac:dyDescent="0.35">
      <c r="A102" s="76"/>
      <c r="B102" s="19"/>
      <c r="C102" s="28"/>
      <c r="D102" s="28"/>
    </row>
    <row r="103" spans="1:4" ht="20" x14ac:dyDescent="0.35">
      <c r="A103" s="76"/>
      <c r="B103" s="19"/>
      <c r="C103" s="28"/>
      <c r="D103" s="28"/>
    </row>
    <row r="104" spans="1:4" ht="20" x14ac:dyDescent="0.35">
      <c r="A104" s="76"/>
      <c r="B104" s="19"/>
      <c r="C104" s="28"/>
      <c r="D104" s="28"/>
    </row>
    <row r="105" spans="1:4" ht="20" x14ac:dyDescent="0.35">
      <c r="A105" s="76"/>
      <c r="B105" s="19"/>
      <c r="C105" s="28"/>
      <c r="D105" s="28"/>
    </row>
    <row r="106" spans="1:4" ht="20" x14ac:dyDescent="0.35">
      <c r="A106" s="76"/>
      <c r="B106" s="19"/>
      <c r="C106" s="28"/>
      <c r="D106" s="28"/>
    </row>
    <row r="107" spans="1:4" ht="20" x14ac:dyDescent="0.35">
      <c r="A107" s="76"/>
      <c r="B107" s="19"/>
      <c r="C107" s="28"/>
      <c r="D107" s="28"/>
    </row>
    <row r="108" spans="1:4" ht="20" x14ac:dyDescent="0.35">
      <c r="A108" s="76"/>
      <c r="B108" s="19"/>
      <c r="C108" s="28"/>
      <c r="D108" s="28"/>
    </row>
    <row r="109" spans="1:4" ht="20" x14ac:dyDescent="0.35">
      <c r="A109" s="76"/>
      <c r="B109" s="19"/>
      <c r="C109" s="28"/>
      <c r="D109" s="28"/>
    </row>
    <row r="110" spans="1:4" ht="20" x14ac:dyDescent="0.35">
      <c r="A110" s="76"/>
      <c r="B110" s="19"/>
      <c r="C110" s="28"/>
      <c r="D110" s="28"/>
    </row>
    <row r="111" spans="1:4" ht="20" x14ac:dyDescent="0.35">
      <c r="A111" s="76"/>
      <c r="B111" s="19"/>
      <c r="C111" s="28"/>
      <c r="D111" s="28"/>
    </row>
    <row r="112" spans="1:4" ht="20" x14ac:dyDescent="0.35">
      <c r="A112" s="76"/>
      <c r="B112" s="19"/>
      <c r="C112" s="28"/>
      <c r="D112" s="28"/>
    </row>
    <row r="113" spans="1:4" ht="20" x14ac:dyDescent="0.35">
      <c r="A113" s="76"/>
      <c r="B113" s="19"/>
      <c r="C113" s="28"/>
      <c r="D113" s="28"/>
    </row>
    <row r="114" spans="1:4" ht="20" x14ac:dyDescent="0.35">
      <c r="A114" s="76"/>
      <c r="B114" s="19"/>
      <c r="C114" s="28"/>
      <c r="D114" s="28"/>
    </row>
    <row r="115" spans="1:4" ht="20" x14ac:dyDescent="0.35">
      <c r="A115" s="76"/>
      <c r="B115" s="19"/>
      <c r="C115" s="28"/>
      <c r="D115" s="28"/>
    </row>
    <row r="116" spans="1:4" ht="20" x14ac:dyDescent="0.35">
      <c r="A116" s="76"/>
      <c r="B116" s="19"/>
      <c r="C116" s="28"/>
      <c r="D116" s="28"/>
    </row>
    <row r="117" spans="1:4" ht="20" x14ac:dyDescent="0.35">
      <c r="A117" s="76"/>
      <c r="B117" s="19"/>
      <c r="C117" s="28"/>
      <c r="D117" s="28"/>
    </row>
    <row r="118" spans="1:4" ht="20" x14ac:dyDescent="0.35">
      <c r="A118" s="76"/>
      <c r="B118" s="19"/>
      <c r="C118" s="28"/>
      <c r="D118" s="28"/>
    </row>
    <row r="119" spans="1:4" ht="20" x14ac:dyDescent="0.35">
      <c r="A119" s="76"/>
      <c r="B119" s="19"/>
      <c r="C119" s="28"/>
      <c r="D119" s="28"/>
    </row>
    <row r="120" spans="1:4" ht="20" x14ac:dyDescent="0.35">
      <c r="A120" s="76"/>
      <c r="B120" s="19"/>
      <c r="C120" s="28"/>
      <c r="D120" s="28"/>
    </row>
    <row r="121" spans="1:4" ht="20" x14ac:dyDescent="0.35">
      <c r="A121" s="76"/>
      <c r="B121" s="19"/>
      <c r="C121" s="28"/>
      <c r="D121" s="28"/>
    </row>
    <row r="122" spans="1:4" ht="20" x14ac:dyDescent="0.35">
      <c r="A122" s="76"/>
      <c r="B122" s="19"/>
      <c r="C122" s="28"/>
      <c r="D122" s="28"/>
    </row>
    <row r="123" spans="1:4" ht="20" x14ac:dyDescent="0.35">
      <c r="A123" s="76"/>
      <c r="B123" s="19"/>
      <c r="C123" s="28"/>
      <c r="D123" s="28"/>
    </row>
    <row r="124" spans="1:4" ht="20" x14ac:dyDescent="0.35">
      <c r="A124" s="76"/>
      <c r="B124" s="19"/>
      <c r="C124" s="28"/>
      <c r="D124" s="28"/>
    </row>
    <row r="125" spans="1:4" ht="20" x14ac:dyDescent="0.35">
      <c r="A125" s="76"/>
      <c r="B125" s="19"/>
      <c r="C125" s="28"/>
      <c r="D125" s="28"/>
    </row>
    <row r="126" spans="1:4" ht="20" x14ac:dyDescent="0.35">
      <c r="A126" s="76"/>
      <c r="B126" s="19"/>
      <c r="C126" s="28"/>
      <c r="D126" s="28"/>
    </row>
    <row r="127" spans="1:4" ht="20" x14ac:dyDescent="0.35">
      <c r="A127" s="76"/>
      <c r="B127" s="19"/>
      <c r="C127" s="28"/>
      <c r="D127" s="28"/>
    </row>
    <row r="128" spans="1:4" ht="20" x14ac:dyDescent="0.35">
      <c r="A128" s="76"/>
      <c r="B128" s="19"/>
      <c r="C128" s="28"/>
      <c r="D128" s="28"/>
    </row>
    <row r="129" spans="1:4" ht="20" x14ac:dyDescent="0.35">
      <c r="A129" s="76"/>
      <c r="B129" s="19"/>
      <c r="C129" s="28"/>
      <c r="D129" s="28"/>
    </row>
    <row r="130" spans="1:4" ht="20" x14ac:dyDescent="0.35">
      <c r="A130" s="76"/>
      <c r="B130" s="19"/>
      <c r="C130" s="28"/>
      <c r="D130" s="28"/>
    </row>
    <row r="131" spans="1:4" ht="20" x14ac:dyDescent="0.35">
      <c r="A131" s="76"/>
      <c r="B131" s="19"/>
      <c r="C131" s="28"/>
      <c r="D131" s="28"/>
    </row>
    <row r="132" spans="1:4" ht="20" x14ac:dyDescent="0.35">
      <c r="A132" s="76"/>
      <c r="B132" s="19"/>
      <c r="C132" s="28"/>
      <c r="D132" s="28"/>
    </row>
    <row r="133" spans="1:4" ht="20" x14ac:dyDescent="0.35">
      <c r="A133" s="76"/>
      <c r="B133" s="19"/>
      <c r="C133" s="28"/>
      <c r="D133" s="28"/>
    </row>
    <row r="134" spans="1:4" ht="20" x14ac:dyDescent="0.35">
      <c r="A134" s="76"/>
      <c r="B134" s="19"/>
      <c r="C134" s="28"/>
      <c r="D134" s="28"/>
    </row>
    <row r="135" spans="1:4" ht="20" x14ac:dyDescent="0.35">
      <c r="A135" s="76"/>
      <c r="B135" s="19"/>
      <c r="C135" s="28"/>
      <c r="D135" s="28"/>
    </row>
    <row r="136" spans="1:4" ht="20" x14ac:dyDescent="0.35">
      <c r="A136" s="76"/>
      <c r="B136" s="19"/>
      <c r="C136" s="28"/>
      <c r="D136" s="28"/>
    </row>
    <row r="137" spans="1:4" ht="20" x14ac:dyDescent="0.35">
      <c r="A137" s="76"/>
      <c r="B137" s="19"/>
      <c r="C137" s="28"/>
      <c r="D137" s="28"/>
    </row>
    <row r="138" spans="1:4" ht="20" x14ac:dyDescent="0.35">
      <c r="A138" s="76"/>
      <c r="B138" s="19"/>
      <c r="C138" s="28"/>
      <c r="D138" s="28"/>
    </row>
    <row r="139" spans="1:4" ht="20" x14ac:dyDescent="0.35">
      <c r="A139" s="76"/>
      <c r="B139" s="19"/>
      <c r="C139" s="28"/>
      <c r="D139" s="28"/>
    </row>
    <row r="140" spans="1:4" ht="20" x14ac:dyDescent="0.35">
      <c r="A140" s="76"/>
      <c r="B140" s="19"/>
      <c r="C140" s="28"/>
      <c r="D140" s="28"/>
    </row>
    <row r="141" spans="1:4" ht="20" x14ac:dyDescent="0.35">
      <c r="A141" s="76"/>
      <c r="B141" s="19"/>
      <c r="C141" s="28"/>
      <c r="D141" s="28"/>
    </row>
    <row r="142" spans="1:4" ht="20" x14ac:dyDescent="0.35">
      <c r="A142" s="76"/>
      <c r="B142" s="19"/>
      <c r="C142" s="28"/>
      <c r="D142" s="28"/>
    </row>
    <row r="143" spans="1:4" ht="20" x14ac:dyDescent="0.35">
      <c r="A143" s="76"/>
      <c r="B143" s="19"/>
      <c r="C143" s="28"/>
      <c r="D143" s="28"/>
    </row>
    <row r="144" spans="1:4" ht="20" x14ac:dyDescent="0.35">
      <c r="A144" s="76"/>
      <c r="B144" s="19"/>
      <c r="C144" s="28"/>
      <c r="D144" s="28"/>
    </row>
    <row r="145" spans="1:4" ht="20" x14ac:dyDescent="0.35">
      <c r="A145" s="76"/>
      <c r="B145" s="19"/>
      <c r="C145" s="28"/>
      <c r="D145" s="28"/>
    </row>
    <row r="146" spans="1:4" ht="20" x14ac:dyDescent="0.35">
      <c r="A146" s="76"/>
      <c r="B146" s="19"/>
      <c r="C146" s="28"/>
      <c r="D146" s="28"/>
    </row>
    <row r="147" spans="1:4" ht="20" x14ac:dyDescent="0.35">
      <c r="A147" s="76"/>
      <c r="B147" s="19"/>
      <c r="C147" s="28"/>
      <c r="D147" s="28"/>
    </row>
    <row r="148" spans="1:4" ht="20" x14ac:dyDescent="0.35">
      <c r="A148" s="76"/>
      <c r="B148" s="19"/>
      <c r="C148" s="28"/>
      <c r="D148" s="28"/>
    </row>
    <row r="149" spans="1:4" ht="20" x14ac:dyDescent="0.35">
      <c r="A149" s="76"/>
      <c r="B149" s="19"/>
      <c r="C149" s="28"/>
      <c r="D149" s="28"/>
    </row>
    <row r="150" spans="1:4" ht="20" x14ac:dyDescent="0.35">
      <c r="A150" s="76"/>
      <c r="B150" s="19"/>
      <c r="C150" s="28"/>
      <c r="D150" s="28"/>
    </row>
    <row r="151" spans="1:4" ht="20" x14ac:dyDescent="0.35">
      <c r="A151" s="76"/>
      <c r="B151" s="19"/>
      <c r="C151" s="28"/>
      <c r="D151" s="28"/>
    </row>
    <row r="152" spans="1:4" ht="20" x14ac:dyDescent="0.35">
      <c r="A152" s="76"/>
      <c r="B152" s="19"/>
      <c r="C152" s="28"/>
      <c r="D152" s="28"/>
    </row>
    <row r="153" spans="1:4" ht="20" x14ac:dyDescent="0.35">
      <c r="A153" s="76"/>
      <c r="B153" s="19"/>
      <c r="C153" s="28"/>
      <c r="D153" s="28"/>
    </row>
    <row r="154" spans="1:4" ht="20" x14ac:dyDescent="0.35">
      <c r="A154" s="76"/>
      <c r="B154" s="19"/>
      <c r="C154" s="28"/>
      <c r="D154" s="28"/>
    </row>
    <row r="155" spans="1:4" ht="20" x14ac:dyDescent="0.35">
      <c r="A155" s="76"/>
      <c r="B155" s="19"/>
      <c r="C155" s="28"/>
      <c r="D155" s="28"/>
    </row>
    <row r="156" spans="1:4" ht="20" x14ac:dyDescent="0.35">
      <c r="A156" s="76"/>
      <c r="B156" s="19"/>
      <c r="C156" s="28"/>
      <c r="D156" s="28"/>
    </row>
    <row r="157" spans="1:4" ht="20" x14ac:dyDescent="0.35">
      <c r="A157" s="76"/>
      <c r="B157" s="19"/>
      <c r="C157" s="28"/>
      <c r="D157" s="28"/>
    </row>
    <row r="158" spans="1:4" ht="20" x14ac:dyDescent="0.35">
      <c r="A158" s="76"/>
      <c r="B158" s="19"/>
      <c r="C158" s="28"/>
      <c r="D158" s="28"/>
    </row>
    <row r="159" spans="1:4" ht="20" x14ac:dyDescent="0.35">
      <c r="A159" s="76"/>
      <c r="B159" s="19"/>
      <c r="C159" s="28"/>
      <c r="D159" s="28"/>
    </row>
    <row r="160" spans="1:4" ht="20" x14ac:dyDescent="0.35">
      <c r="A160" s="76"/>
      <c r="B160" s="19"/>
      <c r="C160" s="28"/>
      <c r="D160" s="28"/>
    </row>
    <row r="161" spans="1:4" ht="20" x14ac:dyDescent="0.35">
      <c r="A161" s="76"/>
      <c r="B161" s="19"/>
      <c r="C161" s="28"/>
      <c r="D161" s="28"/>
    </row>
    <row r="162" spans="1:4" ht="20" x14ac:dyDescent="0.35">
      <c r="A162" s="76"/>
      <c r="B162" s="19"/>
      <c r="C162" s="28"/>
      <c r="D162" s="28"/>
    </row>
    <row r="163" spans="1:4" ht="20" x14ac:dyDescent="0.35">
      <c r="A163" s="76"/>
      <c r="B163" s="19"/>
      <c r="C163" s="28"/>
      <c r="D163" s="28"/>
    </row>
    <row r="164" spans="1:4" ht="20" x14ac:dyDescent="0.35">
      <c r="A164" s="76"/>
      <c r="B164" s="19"/>
      <c r="C164" s="28"/>
      <c r="D164" s="28"/>
    </row>
    <row r="165" spans="1:4" ht="20" x14ac:dyDescent="0.35">
      <c r="A165" s="76"/>
      <c r="B165" s="19"/>
      <c r="C165" s="28"/>
      <c r="D165" s="28"/>
    </row>
    <row r="166" spans="1:4" ht="20" x14ac:dyDescent="0.35">
      <c r="A166" s="76"/>
      <c r="B166" s="19"/>
      <c r="C166" s="28"/>
      <c r="D166" s="28"/>
    </row>
    <row r="167" spans="1:4" ht="20" x14ac:dyDescent="0.35">
      <c r="A167" s="76"/>
      <c r="B167" s="19"/>
      <c r="C167" s="28"/>
      <c r="D167" s="28"/>
    </row>
    <row r="168" spans="1:4" ht="20" x14ac:dyDescent="0.35">
      <c r="A168" s="76"/>
      <c r="B168" s="19"/>
      <c r="C168" s="28"/>
      <c r="D168" s="28"/>
    </row>
    <row r="169" spans="1:4" ht="20" x14ac:dyDescent="0.35">
      <c r="A169" s="76"/>
      <c r="B169" s="19"/>
      <c r="C169" s="28"/>
      <c r="D169" s="28"/>
    </row>
    <row r="170" spans="1:4" ht="20" x14ac:dyDescent="0.35">
      <c r="A170" s="76"/>
      <c r="B170" s="19"/>
      <c r="C170" s="28"/>
      <c r="D170" s="28"/>
    </row>
    <row r="171" spans="1:4" ht="20" x14ac:dyDescent="0.35">
      <c r="A171" s="76"/>
      <c r="B171" s="19"/>
      <c r="C171" s="28"/>
      <c r="D171" s="28"/>
    </row>
    <row r="172" spans="1:4" ht="20" x14ac:dyDescent="0.35">
      <c r="A172" s="76"/>
      <c r="B172" s="19"/>
      <c r="C172" s="28"/>
      <c r="D172" s="28"/>
    </row>
    <row r="173" spans="1:4" ht="20" x14ac:dyDescent="0.35">
      <c r="A173" s="76"/>
      <c r="B173" s="19"/>
      <c r="C173" s="28"/>
      <c r="D173" s="28"/>
    </row>
    <row r="174" spans="1:4" ht="20" x14ac:dyDescent="0.35">
      <c r="A174" s="76"/>
      <c r="B174" s="19"/>
      <c r="C174" s="28"/>
      <c r="D174" s="28"/>
    </row>
    <row r="175" spans="1:4" ht="20" x14ac:dyDescent="0.35">
      <c r="A175" s="76"/>
      <c r="B175" s="19"/>
      <c r="C175" s="28"/>
      <c r="D175" s="28"/>
    </row>
    <row r="176" spans="1:4" ht="20" x14ac:dyDescent="0.35">
      <c r="A176" s="76"/>
      <c r="B176" s="19"/>
      <c r="C176" s="28"/>
      <c r="D176" s="28"/>
    </row>
    <row r="177" spans="1:4" ht="20" x14ac:dyDescent="0.35">
      <c r="A177" s="76"/>
      <c r="B177" s="19"/>
      <c r="C177" s="28"/>
      <c r="D177" s="28"/>
    </row>
    <row r="178" spans="1:4" ht="20" x14ac:dyDescent="0.35">
      <c r="A178" s="76"/>
      <c r="B178" s="19"/>
      <c r="C178" s="28"/>
      <c r="D178" s="28"/>
    </row>
    <row r="179" spans="1:4" ht="20" x14ac:dyDescent="0.35">
      <c r="A179" s="76"/>
      <c r="B179" s="19"/>
      <c r="C179" s="28"/>
      <c r="D179" s="28"/>
    </row>
    <row r="180" spans="1:4" ht="20" x14ac:dyDescent="0.35">
      <c r="A180" s="76"/>
      <c r="B180" s="19"/>
      <c r="C180" s="28"/>
      <c r="D180" s="28"/>
    </row>
    <row r="181" spans="1:4" ht="20" x14ac:dyDescent="0.35">
      <c r="A181" s="76"/>
      <c r="B181" s="19"/>
      <c r="C181" s="28"/>
      <c r="D181" s="28"/>
    </row>
    <row r="182" spans="1:4" ht="20" x14ac:dyDescent="0.35">
      <c r="A182" s="76"/>
      <c r="B182" s="19"/>
      <c r="C182" s="28"/>
      <c r="D182" s="28"/>
    </row>
    <row r="183" spans="1:4" ht="20" x14ac:dyDescent="0.35">
      <c r="A183" s="76"/>
      <c r="B183" s="19"/>
      <c r="C183" s="28"/>
      <c r="D183" s="28"/>
    </row>
    <row r="184" spans="1:4" ht="20" x14ac:dyDescent="0.35">
      <c r="A184" s="76"/>
      <c r="B184" s="19"/>
      <c r="C184" s="28"/>
      <c r="D184" s="28"/>
    </row>
    <row r="185" spans="1:4" ht="20" x14ac:dyDescent="0.35">
      <c r="A185" s="76"/>
      <c r="B185" s="19"/>
      <c r="C185" s="28"/>
      <c r="D185" s="28"/>
    </row>
    <row r="186" spans="1:4" ht="20" x14ac:dyDescent="0.35">
      <c r="A186" s="76"/>
      <c r="B186" s="19"/>
      <c r="C186" s="28"/>
      <c r="D186" s="28"/>
    </row>
    <row r="187" spans="1:4" ht="20" x14ac:dyDescent="0.35">
      <c r="A187" s="76"/>
      <c r="B187" s="19"/>
      <c r="C187" s="28"/>
      <c r="D187" s="28"/>
    </row>
    <row r="188" spans="1:4" ht="20" x14ac:dyDescent="0.35">
      <c r="A188" s="76"/>
      <c r="B188" s="19"/>
      <c r="C188" s="28"/>
      <c r="D188" s="28"/>
    </row>
    <row r="189" spans="1:4" ht="20" x14ac:dyDescent="0.35">
      <c r="A189" s="76"/>
      <c r="B189" s="19"/>
      <c r="C189" s="28"/>
      <c r="D189" s="28"/>
    </row>
    <row r="190" spans="1:4" ht="20" x14ac:dyDescent="0.35">
      <c r="A190" s="76"/>
      <c r="B190" s="19"/>
      <c r="C190" s="28"/>
      <c r="D190" s="28"/>
    </row>
    <row r="191" spans="1:4" ht="20" x14ac:dyDescent="0.35">
      <c r="A191" s="76"/>
      <c r="B191" s="19"/>
      <c r="C191" s="28"/>
      <c r="D191" s="28"/>
    </row>
    <row r="192" spans="1:4" ht="20" x14ac:dyDescent="0.35">
      <c r="A192" s="76"/>
      <c r="B192" s="19"/>
      <c r="C192" s="28"/>
      <c r="D192" s="28"/>
    </row>
    <row r="193" spans="1:4" ht="20" x14ac:dyDescent="0.35">
      <c r="A193" s="76"/>
      <c r="B193" s="19"/>
      <c r="C193" s="28"/>
      <c r="D193" s="28"/>
    </row>
    <row r="194" spans="1:4" ht="20" x14ac:dyDescent="0.35">
      <c r="A194" s="76"/>
      <c r="B194" s="19"/>
      <c r="C194" s="28"/>
      <c r="D194" s="28"/>
    </row>
    <row r="195" spans="1:4" ht="20" x14ac:dyDescent="0.35">
      <c r="A195" s="76"/>
      <c r="B195" s="19"/>
      <c r="C195" s="28"/>
      <c r="D195" s="28"/>
    </row>
    <row r="196" spans="1:4" ht="20" x14ac:dyDescent="0.35">
      <c r="A196" s="76"/>
      <c r="B196" s="19"/>
      <c r="C196" s="28"/>
      <c r="D196" s="28"/>
    </row>
    <row r="197" spans="1:4" ht="20" x14ac:dyDescent="0.35">
      <c r="A197" s="76"/>
      <c r="B197" s="19"/>
      <c r="C197" s="28"/>
      <c r="D197" s="28"/>
    </row>
    <row r="198" spans="1:4" ht="20" x14ac:dyDescent="0.35">
      <c r="A198" s="76"/>
      <c r="B198" s="19"/>
      <c r="C198" s="28"/>
      <c r="D198" s="28"/>
    </row>
    <row r="199" spans="1:4" ht="20" x14ac:dyDescent="0.35">
      <c r="A199" s="76"/>
      <c r="B199" s="19"/>
      <c r="C199" s="28"/>
      <c r="D199" s="28"/>
    </row>
    <row r="200" spans="1:4" ht="20" x14ac:dyDescent="0.35">
      <c r="A200" s="76"/>
      <c r="B200" s="19"/>
      <c r="C200" s="28"/>
      <c r="D200" s="28"/>
    </row>
    <row r="201" spans="1:4" ht="20" x14ac:dyDescent="0.35">
      <c r="A201" s="76"/>
      <c r="B201" s="19"/>
      <c r="C201" s="28"/>
      <c r="D201" s="28"/>
    </row>
    <row r="202" spans="1:4" ht="20" x14ac:dyDescent="0.35">
      <c r="A202" s="76"/>
      <c r="B202" s="19"/>
      <c r="C202" s="28"/>
      <c r="D202" s="28"/>
    </row>
    <row r="203" spans="1:4" ht="20" x14ac:dyDescent="0.35">
      <c r="A203" s="76"/>
      <c r="B203" s="19"/>
      <c r="C203" s="28"/>
      <c r="D203" s="28"/>
    </row>
    <row r="204" spans="1:4" ht="20" x14ac:dyDescent="0.35">
      <c r="A204" s="76"/>
      <c r="B204" s="19"/>
      <c r="C204" s="28"/>
      <c r="D204" s="28"/>
    </row>
    <row r="205" spans="1:4" ht="20" x14ac:dyDescent="0.35">
      <c r="A205" s="76"/>
      <c r="B205" s="19"/>
      <c r="C205" s="28"/>
      <c r="D205" s="28"/>
    </row>
    <row r="206" spans="1:4" ht="20" x14ac:dyDescent="0.35">
      <c r="A206" s="76"/>
      <c r="B206" s="19"/>
      <c r="C206" s="28"/>
      <c r="D206" s="28"/>
    </row>
    <row r="207" spans="1:4" ht="20" x14ac:dyDescent="0.35">
      <c r="A207" s="76"/>
      <c r="B207" s="19"/>
      <c r="C207" s="28"/>
      <c r="D207" s="28"/>
    </row>
    <row r="208" spans="1:4" x14ac:dyDescent="0.35">
      <c r="A208" s="56"/>
      <c r="B208" s="19"/>
      <c r="C208" s="19"/>
      <c r="D208" s="19"/>
    </row>
    <row r="209" spans="1:8" ht="20" x14ac:dyDescent="0.35">
      <c r="A209" s="56"/>
      <c r="B209" s="24" t="s">
        <v>81</v>
      </c>
      <c r="C209" s="24" t="s">
        <v>129</v>
      </c>
      <c r="D209" s="27" t="s">
        <v>81</v>
      </c>
      <c r="E209" s="27" t="s">
        <v>129</v>
      </c>
    </row>
    <row r="210" spans="1:8" ht="21" x14ac:dyDescent="0.5">
      <c r="A210" s="56"/>
      <c r="B210" s="25" t="s">
        <v>83</v>
      </c>
      <c r="C210" s="25"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5">
      <c r="A211" s="56"/>
      <c r="B211" s="25" t="s">
        <v>83</v>
      </c>
      <c r="C211" s="25" t="s">
        <v>86</v>
      </c>
      <c r="E211" t="s">
        <v>52</v>
      </c>
      <c r="F211" t="str">
        <f t="shared" si="0"/>
        <v xml:space="preserve"> Afectación menor a 10 SMLMV .</v>
      </c>
    </row>
    <row r="212" spans="1:8" ht="21" x14ac:dyDescent="0.5">
      <c r="A212" s="56"/>
      <c r="B212" s="25" t="s">
        <v>83</v>
      </c>
      <c r="C212" s="25" t="s">
        <v>87</v>
      </c>
      <c r="E212" t="s">
        <v>86</v>
      </c>
      <c r="F212" t="str">
        <f t="shared" si="0"/>
        <v xml:space="preserve"> Entre 10 y 50 SMLMV </v>
      </c>
    </row>
    <row r="213" spans="1:8" ht="21" x14ac:dyDescent="0.5">
      <c r="A213" s="56"/>
      <c r="B213" s="25" t="s">
        <v>83</v>
      </c>
      <c r="C213" s="25" t="s">
        <v>88</v>
      </c>
      <c r="E213" t="s">
        <v>87</v>
      </c>
      <c r="F213" t="str">
        <f t="shared" si="0"/>
        <v xml:space="preserve"> Entre 50 y 100 SMLMV </v>
      </c>
    </row>
    <row r="214" spans="1:8" ht="21" x14ac:dyDescent="0.5">
      <c r="A214" s="56"/>
      <c r="B214" s="25" t="s">
        <v>83</v>
      </c>
      <c r="C214" s="25" t="s">
        <v>89</v>
      </c>
      <c r="E214" t="s">
        <v>88</v>
      </c>
      <c r="F214" t="str">
        <f t="shared" si="0"/>
        <v xml:space="preserve"> Entre 100 y 500 SMLMV </v>
      </c>
    </row>
    <row r="215" spans="1:8" ht="21" x14ac:dyDescent="0.5">
      <c r="A215" s="56"/>
      <c r="B215" s="25" t="s">
        <v>51</v>
      </c>
      <c r="C215" s="25" t="s">
        <v>90</v>
      </c>
      <c r="E215" t="s">
        <v>89</v>
      </c>
      <c r="F215" t="str">
        <f t="shared" si="0"/>
        <v xml:space="preserve"> Mayor a 500 SMLMV </v>
      </c>
    </row>
    <row r="216" spans="1:8" ht="21" x14ac:dyDescent="0.5">
      <c r="A216" s="56"/>
      <c r="B216" s="25" t="s">
        <v>51</v>
      </c>
      <c r="C216" s="25" t="s">
        <v>489</v>
      </c>
      <c r="D216" t="s">
        <v>51</v>
      </c>
      <c r="F216" t="str">
        <f t="shared" si="0"/>
        <v>Pérdida Reputacional</v>
      </c>
    </row>
    <row r="217" spans="1:8" ht="21" x14ac:dyDescent="0.5">
      <c r="A217" s="56"/>
      <c r="B217" s="25" t="s">
        <v>51</v>
      </c>
      <c r="C217" s="25" t="s">
        <v>91</v>
      </c>
      <c r="E217" t="s">
        <v>90</v>
      </c>
      <c r="F217" t="str">
        <f t="shared" si="0"/>
        <v xml:space="preserve"> El riesgo afecta la imagen de alguna área de la organización</v>
      </c>
    </row>
    <row r="218" spans="1:8" ht="21" x14ac:dyDescent="0.5">
      <c r="A218" s="56"/>
      <c r="B218" s="25" t="s">
        <v>51</v>
      </c>
      <c r="C218" s="25" t="s">
        <v>491</v>
      </c>
      <c r="E218" t="s">
        <v>489</v>
      </c>
      <c r="F218" t="str">
        <f t="shared" si="0"/>
        <v xml:space="preserve"> El riesgo afecta la imagen de la entidad internamente, de conocimiento general, nivel interno, de junta directiva y accionistas y/o de proveedores</v>
      </c>
    </row>
    <row r="219" spans="1:8" ht="21" x14ac:dyDescent="0.5">
      <c r="A219" s="56"/>
      <c r="B219" s="25" t="s">
        <v>51</v>
      </c>
      <c r="C219" s="25" t="s">
        <v>109</v>
      </c>
      <c r="E219" t="s">
        <v>91</v>
      </c>
      <c r="F219" t="str">
        <f t="shared" si="0"/>
        <v xml:space="preserve"> El riesgo afecta la imagen de la entidad con algunos usuarios de relevancia frente al logro de los objetivos</v>
      </c>
    </row>
    <row r="220" spans="1:8" x14ac:dyDescent="0.35">
      <c r="A220" s="56"/>
      <c r="B220" s="26"/>
      <c r="C220" s="26"/>
      <c r="E220" t="s">
        <v>491</v>
      </c>
      <c r="F220" t="str">
        <f t="shared" si="0"/>
        <v xml:space="preserve"> El riesgo afecta la imagen de la entidad con efecto publicitario sostenido a nivel de sector administrativo, nivel departamental o municipal</v>
      </c>
    </row>
    <row r="221" spans="1:8" x14ac:dyDescent="0.35">
      <c r="A221" s="56"/>
      <c r="B221" s="26" t="str" cm="1">
        <f t="array" ref="B221:B223">_xlfn.UNIQUE(Tabla1[[#All],[Criterios]])</f>
        <v>Criterios</v>
      </c>
      <c r="C221" s="26"/>
      <c r="E221" t="s">
        <v>109</v>
      </c>
      <c r="F221" t="str">
        <f t="shared" si="0"/>
        <v xml:space="preserve"> El riesgo afecta la imagen de la entidad a nivel nacional, con efecto publicitarios sostenible a nivel país</v>
      </c>
    </row>
    <row r="222" spans="1:8" x14ac:dyDescent="0.35">
      <c r="A222" s="56"/>
      <c r="B222" s="26" t="str">
        <v>Afectación Económica o presupuestal</v>
      </c>
      <c r="C222" s="26"/>
    </row>
    <row r="223" spans="1:8" x14ac:dyDescent="0.35">
      <c r="B223" s="26" t="str">
        <v>Pérdida Reputacional</v>
      </c>
      <c r="C223" s="26"/>
      <c r="F223" s="29" t="s">
        <v>130</v>
      </c>
    </row>
    <row r="224" spans="1:8" x14ac:dyDescent="0.35">
      <c r="B224" s="18"/>
      <c r="C224" s="18"/>
      <c r="F224" s="29" t="s">
        <v>131</v>
      </c>
    </row>
    <row r="225" spans="2:4" x14ac:dyDescent="0.35">
      <c r="B225" s="18"/>
      <c r="C225" s="18"/>
    </row>
    <row r="226" spans="2:4" x14ac:dyDescent="0.35">
      <c r="B226" s="18"/>
      <c r="C226" s="18"/>
    </row>
    <row r="227" spans="2:4" x14ac:dyDescent="0.35">
      <c r="B227" s="18"/>
      <c r="C227" s="18"/>
      <c r="D227" s="18"/>
    </row>
    <row r="228" spans="2:4" x14ac:dyDescent="0.35">
      <c r="B228" s="18"/>
      <c r="C228" s="18"/>
      <c r="D228" s="18"/>
    </row>
    <row r="229" spans="2:4" x14ac:dyDescent="0.35">
      <c r="B229" s="18"/>
      <c r="C229" s="18"/>
      <c r="D229" s="18"/>
    </row>
    <row r="230" spans="2:4" x14ac:dyDescent="0.35">
      <c r="B230" s="18"/>
      <c r="C230" s="18"/>
      <c r="D230" s="18"/>
    </row>
    <row r="231" spans="2:4" x14ac:dyDescent="0.35">
      <c r="B231" s="18"/>
      <c r="C231" s="18"/>
      <c r="D231" s="18"/>
    </row>
    <row r="232" spans="2:4" x14ac:dyDescent="0.3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C7" sqref="C7:C8"/>
    </sheetView>
  </sheetViews>
  <sheetFormatPr baseColWidth="10" defaultColWidth="14.26953125" defaultRowHeight="13" x14ac:dyDescent="0.3"/>
  <cols>
    <col min="1" max="2" width="14.26953125" style="61"/>
    <col min="3" max="3" width="17" style="61" customWidth="1"/>
    <col min="4" max="4" width="14.26953125" style="61"/>
    <col min="5" max="5" width="46" style="61" customWidth="1"/>
    <col min="6" max="16384" width="14.26953125" style="61"/>
  </cols>
  <sheetData>
    <row r="1" spans="2:6" ht="24" customHeight="1" thickBot="1" x14ac:dyDescent="0.35">
      <c r="B1" s="540" t="s">
        <v>72</v>
      </c>
      <c r="C1" s="541"/>
      <c r="D1" s="541"/>
      <c r="E1" s="541"/>
      <c r="F1" s="542"/>
    </row>
    <row r="2" spans="2:6" ht="16" thickBot="1" x14ac:dyDescent="0.4">
      <c r="B2" s="62"/>
      <c r="C2" s="62"/>
      <c r="D2" s="62"/>
      <c r="E2" s="62"/>
      <c r="F2" s="62"/>
    </row>
    <row r="3" spans="2:6" ht="16" thickBot="1" x14ac:dyDescent="0.35">
      <c r="B3" s="544" t="s">
        <v>58</v>
      </c>
      <c r="C3" s="545"/>
      <c r="D3" s="545"/>
      <c r="E3" s="74" t="s">
        <v>59</v>
      </c>
      <c r="F3" s="75" t="s">
        <v>60</v>
      </c>
    </row>
    <row r="4" spans="2:6" ht="31" x14ac:dyDescent="0.3">
      <c r="B4" s="546" t="s">
        <v>61</v>
      </c>
      <c r="C4" s="548" t="s">
        <v>13</v>
      </c>
      <c r="D4" s="63" t="s">
        <v>14</v>
      </c>
      <c r="E4" s="64" t="s">
        <v>62</v>
      </c>
      <c r="F4" s="65">
        <v>0.25</v>
      </c>
    </row>
    <row r="5" spans="2:6" ht="46.5" x14ac:dyDescent="0.3">
      <c r="B5" s="547"/>
      <c r="C5" s="549"/>
      <c r="D5" s="66" t="s">
        <v>15</v>
      </c>
      <c r="E5" s="67" t="s">
        <v>63</v>
      </c>
      <c r="F5" s="68">
        <v>0.15</v>
      </c>
    </row>
    <row r="6" spans="2:6" ht="46.5" x14ac:dyDescent="0.3">
      <c r="B6" s="547"/>
      <c r="C6" s="549"/>
      <c r="D6" s="66" t="s">
        <v>16</v>
      </c>
      <c r="E6" s="67" t="s">
        <v>64</v>
      </c>
      <c r="F6" s="68">
        <v>0.1</v>
      </c>
    </row>
    <row r="7" spans="2:6" ht="62" x14ac:dyDescent="0.3">
      <c r="B7" s="547"/>
      <c r="C7" s="549" t="s">
        <v>17</v>
      </c>
      <c r="D7" s="66" t="s">
        <v>10</v>
      </c>
      <c r="E7" s="67" t="s">
        <v>65</v>
      </c>
      <c r="F7" s="68">
        <v>0.25</v>
      </c>
    </row>
    <row r="8" spans="2:6" ht="31" x14ac:dyDescent="0.3">
      <c r="B8" s="547"/>
      <c r="C8" s="549"/>
      <c r="D8" s="66" t="s">
        <v>9</v>
      </c>
      <c r="E8" s="67" t="s">
        <v>66</v>
      </c>
      <c r="F8" s="68">
        <v>0.15</v>
      </c>
    </row>
    <row r="9" spans="2:6" ht="46.5" x14ac:dyDescent="0.3">
      <c r="B9" s="547" t="s">
        <v>136</v>
      </c>
      <c r="C9" s="549" t="s">
        <v>18</v>
      </c>
      <c r="D9" s="66" t="s">
        <v>19</v>
      </c>
      <c r="E9" s="67" t="s">
        <v>67</v>
      </c>
      <c r="F9" s="69" t="s">
        <v>68</v>
      </c>
    </row>
    <row r="10" spans="2:6" ht="46.5" x14ac:dyDescent="0.3">
      <c r="B10" s="547"/>
      <c r="C10" s="549"/>
      <c r="D10" s="66" t="s">
        <v>20</v>
      </c>
      <c r="E10" s="67" t="s">
        <v>69</v>
      </c>
      <c r="F10" s="69" t="s">
        <v>68</v>
      </c>
    </row>
    <row r="11" spans="2:6" ht="46.5" x14ac:dyDescent="0.3">
      <c r="B11" s="547"/>
      <c r="C11" s="549" t="s">
        <v>21</v>
      </c>
      <c r="D11" s="66" t="s">
        <v>22</v>
      </c>
      <c r="E11" s="67" t="s">
        <v>70</v>
      </c>
      <c r="F11" s="69" t="s">
        <v>68</v>
      </c>
    </row>
    <row r="12" spans="2:6" ht="46.5" x14ac:dyDescent="0.3">
      <c r="B12" s="547"/>
      <c r="C12" s="549"/>
      <c r="D12" s="66" t="s">
        <v>23</v>
      </c>
      <c r="E12" s="67" t="s">
        <v>71</v>
      </c>
      <c r="F12" s="69" t="s">
        <v>68</v>
      </c>
    </row>
    <row r="13" spans="2:6" ht="31" x14ac:dyDescent="0.3">
      <c r="B13" s="547"/>
      <c r="C13" s="549" t="s">
        <v>24</v>
      </c>
      <c r="D13" s="66" t="s">
        <v>110</v>
      </c>
      <c r="E13" s="67" t="s">
        <v>113</v>
      </c>
      <c r="F13" s="69" t="s">
        <v>68</v>
      </c>
    </row>
    <row r="14" spans="2:6" ht="16" thickBot="1" x14ac:dyDescent="0.35">
      <c r="B14" s="550"/>
      <c r="C14" s="551"/>
      <c r="D14" s="70" t="s">
        <v>111</v>
      </c>
      <c r="E14" s="71" t="s">
        <v>112</v>
      </c>
      <c r="F14" s="72" t="s">
        <v>68</v>
      </c>
    </row>
    <row r="15" spans="2:6" ht="49.5" customHeight="1" x14ac:dyDescent="0.3">
      <c r="B15" s="543" t="s">
        <v>133</v>
      </c>
      <c r="C15" s="543"/>
      <c r="D15" s="543"/>
      <c r="E15" s="543"/>
      <c r="F15" s="543"/>
    </row>
    <row r="16" spans="2:6" ht="27" customHeight="1" x14ac:dyDescent="0.3">
      <c r="B16" s="7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4.5" x14ac:dyDescent="0.35"/>
  <sheetData>
    <row r="2" spans="2:5" x14ac:dyDescent="0.35">
      <c r="B2" t="s">
        <v>31</v>
      </c>
      <c r="E2" t="s">
        <v>119</v>
      </c>
    </row>
    <row r="3" spans="2:5" x14ac:dyDescent="0.35">
      <c r="B3" t="s">
        <v>32</v>
      </c>
      <c r="E3" t="s">
        <v>118</v>
      </c>
    </row>
    <row r="4" spans="2:5" x14ac:dyDescent="0.35">
      <c r="B4" t="s">
        <v>123</v>
      </c>
      <c r="E4" t="s">
        <v>120</v>
      </c>
    </row>
    <row r="5" spans="2:5" x14ac:dyDescent="0.35">
      <c r="B5" t="s">
        <v>122</v>
      </c>
    </row>
    <row r="8" spans="2:5" x14ac:dyDescent="0.35">
      <c r="B8" t="s">
        <v>493</v>
      </c>
    </row>
    <row r="9" spans="2:5" x14ac:dyDescent="0.35">
      <c r="B9" t="s">
        <v>36</v>
      </c>
    </row>
    <row r="10" spans="2:5" x14ac:dyDescent="0.35">
      <c r="B10" t="s">
        <v>37</v>
      </c>
    </row>
    <row r="13" spans="2:5" x14ac:dyDescent="0.35">
      <c r="B13" t="s">
        <v>330</v>
      </c>
    </row>
    <row r="14" spans="2:5" x14ac:dyDescent="0.35">
      <c r="B14" t="s">
        <v>328</v>
      </c>
    </row>
    <row r="15" spans="2:5" x14ac:dyDescent="0.35">
      <c r="B15" t="s">
        <v>336</v>
      </c>
    </row>
    <row r="16" spans="2:5" x14ac:dyDescent="0.35">
      <c r="B16" t="s">
        <v>114</v>
      </c>
    </row>
    <row r="17" spans="2:2" x14ac:dyDescent="0.35">
      <c r="B17" t="s">
        <v>115</v>
      </c>
    </row>
    <row r="18" spans="2:2" x14ac:dyDescent="0.35">
      <c r="B18" t="s">
        <v>116</v>
      </c>
    </row>
    <row r="19" spans="2:2" x14ac:dyDescent="0.3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53125" defaultRowHeight="13" x14ac:dyDescent="0.3"/>
  <cols>
    <col min="1" max="1" width="32.81640625" style="5" customWidth="1"/>
    <col min="2" max="16384" width="11.453125" style="5"/>
  </cols>
  <sheetData>
    <row r="3" spans="1:1" x14ac:dyDescent="0.3">
      <c r="A3" s="6" t="s">
        <v>14</v>
      </c>
    </row>
    <row r="4" spans="1:1" x14ac:dyDescent="0.3">
      <c r="A4" s="6" t="s">
        <v>15</v>
      </c>
    </row>
    <row r="5" spans="1:1" x14ac:dyDescent="0.3">
      <c r="A5" s="6" t="s">
        <v>16</v>
      </c>
    </row>
    <row r="6" spans="1:1" x14ac:dyDescent="0.3">
      <c r="A6" s="6" t="s">
        <v>10</v>
      </c>
    </row>
    <row r="7" spans="1:1" x14ac:dyDescent="0.3">
      <c r="A7" s="6" t="s">
        <v>9</v>
      </c>
    </row>
    <row r="8" spans="1:1" x14ac:dyDescent="0.3">
      <c r="A8" s="6" t="s">
        <v>19</v>
      </c>
    </row>
    <row r="9" spans="1:1" x14ac:dyDescent="0.3">
      <c r="A9" s="6" t="s">
        <v>20</v>
      </c>
    </row>
    <row r="10" spans="1:1" x14ac:dyDescent="0.3">
      <c r="A10" s="6" t="s">
        <v>22</v>
      </c>
    </row>
    <row r="11" spans="1:1" x14ac:dyDescent="0.3">
      <c r="A11" s="6" t="s">
        <v>23</v>
      </c>
    </row>
    <row r="12" spans="1:1" x14ac:dyDescent="0.3">
      <c r="A12" s="6" t="s">
        <v>25</v>
      </c>
    </row>
    <row r="13" spans="1:1" x14ac:dyDescent="0.3">
      <c r="A13" s="6" t="s">
        <v>26</v>
      </c>
    </row>
    <row r="14" spans="1:1" x14ac:dyDescent="0.3">
      <c r="A14" s="6" t="s">
        <v>27</v>
      </c>
    </row>
    <row r="16" spans="1:1" x14ac:dyDescent="0.3">
      <c r="A16" s="6" t="s">
        <v>30</v>
      </c>
    </row>
    <row r="17" spans="1:1" x14ac:dyDescent="0.3">
      <c r="A17" s="6" t="s">
        <v>31</v>
      </c>
    </row>
    <row r="18" spans="1:1" x14ac:dyDescent="0.3">
      <c r="A18" s="6" t="s">
        <v>32</v>
      </c>
    </row>
    <row r="20" spans="1:1" x14ac:dyDescent="0.3">
      <c r="A20" s="6" t="s">
        <v>36</v>
      </c>
    </row>
    <row r="21" spans="1:1" x14ac:dyDescent="0.3">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SPAP</cp:lastModifiedBy>
  <cp:lastPrinted>2023-03-27T14:56:44Z</cp:lastPrinted>
  <dcterms:created xsi:type="dcterms:W3CDTF">2020-03-24T23:12:47Z</dcterms:created>
  <dcterms:modified xsi:type="dcterms:W3CDTF">2023-03-27T14:56:58Z</dcterms:modified>
</cp:coreProperties>
</file>